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1435" yWindow="15" windowWidth="21075" windowHeight="9735" activeTab="5"/>
  </bookViews>
  <sheets>
    <sheet name="Dec13" sheetId="8" r:id="rId1"/>
    <sheet name="Nov13" sheetId="7" r:id="rId2"/>
    <sheet name="Oct13" sheetId="4" r:id="rId3"/>
    <sheet name="Sep13(Changes)" sheetId="5" r:id="rId4"/>
    <sheet name="Sep13" sheetId="1" r:id="rId5"/>
    <sheet name="Aug13(Changes)Dec Billing" sheetId="9" r:id="rId6"/>
    <sheet name="Aug13(Changes)Oct Billing" sheetId="6" r:id="rId7"/>
    <sheet name="Aug13" sheetId="2" r:id="rId8"/>
    <sheet name="Sheet1" sheetId="3" r:id="rId9"/>
  </sheets>
  <definedNames>
    <definedName name="_xlnm.Print_Area" localSheetId="5">'Aug13(Changes)Dec Billing'!$A$1:$N$71</definedName>
    <definedName name="_xlnm.Print_Area" localSheetId="6">'Aug13(Changes)Oct Billing'!$A$1:$K$78</definedName>
    <definedName name="_xlnm.Print_Area" localSheetId="2">'Oct13'!$A$1:$E$67</definedName>
    <definedName name="_xlnm.Print_Area" localSheetId="4">'Sep13'!$A$1:$F$63</definedName>
    <definedName name="_xlnm.Print_Area" localSheetId="3">'Sep13(Changes)'!$A$1:$L$85</definedName>
    <definedName name="_xlnm.Print_Titles" localSheetId="4">'Sep13'!$1:$2</definedName>
  </definedNames>
  <calcPr calcId="144525"/>
</workbook>
</file>

<file path=xl/comments1.xml><?xml version="1.0" encoding="utf-8"?>
<comments xmlns="http://schemas.openxmlformats.org/spreadsheetml/2006/main">
  <authors>
    <author>David J Ashby</author>
  </authors>
  <commentList>
    <comment ref="B42" authorId="0">
      <text>
        <r>
          <rPr>
            <b/>
            <sz val="8"/>
            <rFont val="Tahoma"/>
            <family val="2"/>
          </rPr>
          <t>David J Ashby:</t>
        </r>
        <r>
          <rPr>
            <sz val="8"/>
            <rFont val="Tahoma"/>
            <family val="2"/>
          </rPr>
          <t xml:space="preserve">
This includes Actual 
Fuel inventory in coal pile plus intransit fuel and Propane
</t>
        </r>
      </text>
    </comment>
  </commentList>
</comments>
</file>

<file path=xl/comments2.xml><?xml version="1.0" encoding="utf-8"?>
<comments xmlns="http://schemas.openxmlformats.org/spreadsheetml/2006/main">
  <authors>
    <author>David J Ashby</author>
  </authors>
  <commentList>
    <comment ref="B42" authorId="0">
      <text>
        <r>
          <rPr>
            <b/>
            <sz val="8"/>
            <rFont val="Tahoma"/>
            <family val="2"/>
          </rPr>
          <t>David J Ashby:</t>
        </r>
        <r>
          <rPr>
            <sz val="8"/>
            <rFont val="Tahoma"/>
            <family val="2"/>
          </rPr>
          <t xml:space="preserve">
This includes Actual 
Fuel inventory in coal pile plus intransit fuel and Propane
</t>
        </r>
      </text>
    </comment>
  </commentList>
</comments>
</file>

<file path=xl/comments3.xml><?xml version="1.0" encoding="utf-8"?>
<comments xmlns="http://schemas.openxmlformats.org/spreadsheetml/2006/main">
  <authors>
    <author>David J Ashby</author>
  </authors>
  <commentList>
    <comment ref="B42" authorId="0">
      <text>
        <r>
          <rPr>
            <b/>
            <sz val="8"/>
            <rFont val="Tahoma"/>
            <family val="2"/>
          </rPr>
          <t>David J Ashby:</t>
        </r>
        <r>
          <rPr>
            <sz val="8"/>
            <rFont val="Tahoma"/>
            <family val="2"/>
          </rPr>
          <t xml:space="preserve">
This includes Actual 
Fuel inventory in coal pile plus intransit fuel and Propane
</t>
        </r>
      </text>
    </comment>
  </commentList>
</comments>
</file>

<file path=xl/comments4.xml><?xml version="1.0" encoding="utf-8"?>
<comments xmlns="http://schemas.openxmlformats.org/spreadsheetml/2006/main">
  <authors>
    <author>David J Ashby</author>
  </authors>
  <commentList>
    <comment ref="B42" authorId="0">
      <text>
        <r>
          <rPr>
            <b/>
            <sz val="8"/>
            <rFont val="Tahoma"/>
            <family val="2"/>
          </rPr>
          <t>David J Ashby:</t>
        </r>
        <r>
          <rPr>
            <sz val="8"/>
            <rFont val="Tahoma"/>
            <family val="2"/>
          </rPr>
          <t xml:space="preserve">
This includes Actual 
Fuel inventory in coal pile plus intransit fuel and Propane
</t>
        </r>
      </text>
    </comment>
    <comment ref="D42" authorId="0">
      <text>
        <r>
          <rPr>
            <b/>
            <sz val="8"/>
            <rFont val="Tahoma"/>
            <family val="2"/>
          </rPr>
          <t>David J Ashby:</t>
        </r>
        <r>
          <rPr>
            <sz val="8"/>
            <rFont val="Tahoma"/>
            <family val="2"/>
          </rPr>
          <t xml:space="preserve">
This includes Actual 
Fuel inventory in coal pile plus intransit fuel and Propane
</t>
        </r>
      </text>
    </comment>
  </commentList>
</comments>
</file>

<file path=xl/comments5.xml><?xml version="1.0" encoding="utf-8"?>
<comments xmlns="http://schemas.openxmlformats.org/spreadsheetml/2006/main">
  <authors>
    <author>David J Ashby</author>
  </authors>
  <commentList>
    <comment ref="B37" authorId="0">
      <text>
        <r>
          <rPr>
            <b/>
            <sz val="8"/>
            <rFont val="Tahoma"/>
            <family val="2"/>
          </rPr>
          <t>David J Ashby:</t>
        </r>
        <r>
          <rPr>
            <sz val="8"/>
            <rFont val="Tahoma"/>
            <family val="2"/>
          </rPr>
          <t xml:space="preserve">
This includes Actual 
Fuel inventory in coal pile plus intransit fuel and Propane
</t>
        </r>
      </text>
    </comment>
  </commentList>
</comments>
</file>

<file path=xl/sharedStrings.xml><?xml version="1.0" encoding="utf-8"?>
<sst xmlns="http://schemas.openxmlformats.org/spreadsheetml/2006/main" count="558" uniqueCount="95">
  <si>
    <t>Generation (net)</t>
  </si>
  <si>
    <t>Fixed Costs, $</t>
  </si>
  <si>
    <t>Non-Labor O&amp;M ($)</t>
  </si>
  <si>
    <t>Plant Labor ($)</t>
  </si>
  <si>
    <t>G&amp;A Labor ($)</t>
  </si>
  <si>
    <t>Property Tax &amp; Insurance ($)</t>
  </si>
  <si>
    <t>Total Fixed Costs, $</t>
  </si>
  <si>
    <t>Total Fixed Costs, $/MWh</t>
  </si>
  <si>
    <t>Variable Costs</t>
  </si>
  <si>
    <t>Fuel Burn (tons)</t>
  </si>
  <si>
    <t>Fuel Cost ($)</t>
  </si>
  <si>
    <t>Fuel Cost ($/MWh)</t>
  </si>
  <si>
    <t>Fuel ($/MMBtu)</t>
  </si>
  <si>
    <t>Natural Gas ($)</t>
  </si>
  <si>
    <t>Natural Gas ($/MWh)</t>
  </si>
  <si>
    <t>Non Fuel VOM Cost ($)</t>
  </si>
  <si>
    <t>Non Fuel VOM Cost ($/MWh)</t>
  </si>
  <si>
    <t>Emission Cost ($)</t>
  </si>
  <si>
    <t>Emission Cost ($/MWh)</t>
  </si>
  <si>
    <t>Total Variable Cost, $</t>
  </si>
  <si>
    <t>Total Variable Cost, $/MWh</t>
  </si>
  <si>
    <t>Fuel Inventory, $</t>
  </si>
  <si>
    <t>Materials and Supplies Inventory, $</t>
  </si>
  <si>
    <t>Capital ($)</t>
  </si>
  <si>
    <t>Total Inventory &amp; Capital, $</t>
  </si>
  <si>
    <t>Return on Net Rate Base, %</t>
  </si>
  <si>
    <t>Return on Net Rate Base, $</t>
  </si>
  <si>
    <t>Actuals</t>
  </si>
  <si>
    <t>08/20 - 08/31</t>
  </si>
  <si>
    <t>Natural Gas MCF</t>
  </si>
  <si>
    <t>Limestone Reagent (tons)</t>
  </si>
  <si>
    <t>Limestone Reagent ($)</t>
  </si>
  <si>
    <t>Limestone Reagent ($/MWh)</t>
  </si>
  <si>
    <t>Cost Category</t>
  </si>
  <si>
    <t>Century Monthly Billing - SSR Costs</t>
  </si>
  <si>
    <t>August 20-31, 2013</t>
  </si>
  <si>
    <t>NRCO</t>
  </si>
  <si>
    <t>North American Transmission Forum</t>
  </si>
  <si>
    <t>N/A</t>
  </si>
  <si>
    <t>NERC/SERC</t>
  </si>
  <si>
    <t>Exhibit B</t>
  </si>
  <si>
    <t>NRECA</t>
  </si>
  <si>
    <t>PSC Assessment</t>
  </si>
  <si>
    <t>EPA Title V Permit Fees</t>
  </si>
  <si>
    <t>KAEC</t>
  </si>
  <si>
    <t>1/4 FTE</t>
  </si>
  <si>
    <t>Total Exhibit B Costs</t>
  </si>
  <si>
    <t>Reagent Inventory, $</t>
  </si>
  <si>
    <t>Total</t>
  </si>
  <si>
    <t>Will be billed to Century Jan-2014</t>
  </si>
  <si>
    <t>Will be billed to Century Jun-2014</t>
  </si>
  <si>
    <t>September 01-30, 2013</t>
  </si>
  <si>
    <t>09/01 - 09/30</t>
  </si>
  <si>
    <t>ACES Fee</t>
  </si>
  <si>
    <t>Revised</t>
  </si>
  <si>
    <t>Capital Costs, $</t>
  </si>
  <si>
    <t>Total Capital Costs, $</t>
  </si>
  <si>
    <t>Total Capital Costs, $/MWh</t>
  </si>
  <si>
    <t>Adjustment to make</t>
  </si>
  <si>
    <t>to October 2013 Billing</t>
  </si>
  <si>
    <t>October 01-31, 2013</t>
  </si>
  <si>
    <t>10/01 - 10/31</t>
  </si>
  <si>
    <t>Total Inventory, $</t>
  </si>
  <si>
    <t>1  Plant security was not originally picked up in the mass allocations.</t>
  </si>
  <si>
    <t>2  HQ G&amp;A labor is being calculated differently per the IMM.</t>
  </si>
  <si>
    <t>3  The Property Taxes 8.5% reduction and Property Insurance 10% reduction resulted in this credit.</t>
  </si>
  <si>
    <t>6  Materials &amp; Supplies Inventory was reduced by the target inventory idled for the return on net base.</t>
  </si>
  <si>
    <t>7  Materials &amp; Supplies Inventory was reduced by the target inventory idled for the return on net base.</t>
  </si>
  <si>
    <t>7  Capital costs were removed from the calculation of the return on net base.</t>
  </si>
  <si>
    <t xml:space="preserve">1  Plant security was not originally picked up in the mass allocations which was $17,600.44.  The difference between what was originally booked for natural gas in </t>
  </si>
  <si>
    <t xml:space="preserve">    Sep-13 and what should have been booked would be a reduction to the Non-labor O&amp;M which is backed into by removing the variable costs. The Non-labor O&amp;M</t>
  </si>
  <si>
    <t xml:space="preserve">    adjustment is ($37,625.15.)</t>
  </si>
  <si>
    <t>8  Capital costs were removed from the calculation of the return on net base.</t>
  </si>
  <si>
    <t>4  Capital costs were not originally on the invoice. Capital costs were originally part of the return on net rate base but the Independent Market Monitor(IMM) determined</t>
  </si>
  <si>
    <t>that the capital costs that are incurred while the units are in SSR should be included in the fixed costs.</t>
  </si>
  <si>
    <t>5  The September Natural Gas MCF and Dollars was incorrectly entered backwards in the September invoice.  Century was undercharged  $37,625.15 which is being</t>
  </si>
  <si>
    <t>true-up in our October billing.  Also, there was a true-up in September from the Atmos Energy August estimate for $16,922.68 and it was all charged to Century which was</t>
  </si>
  <si>
    <t>incorrect.  Only $6,324.91 should have been charged to Century.  Century is due a credit of ($10,597.77) which is beinig trued up in our October billing also.  The net true-up</t>
  </si>
  <si>
    <t>Century for September is $37,625.15-$10,597.77 or $27,027.38.</t>
  </si>
  <si>
    <t>6  It was determined in a meeting with Bob Berry, Billie Richert, Lindsay Barron and Donna Windhaus that Century will reimburse Big Rivers for the market value for</t>
  </si>
  <si>
    <t xml:space="preserve">Coleman's emission allowances which is consistent with the SSR Budget. </t>
  </si>
  <si>
    <t>Credit due to Century on True-up changes</t>
  </si>
  <si>
    <t>5  It was determined in a meeting with Bob Berry, Billie Richert, Lindsay Barron and Donna Windhaus that Century will reimburse Big Rivers for the market value for</t>
  </si>
  <si>
    <t>Invoice 317</t>
  </si>
  <si>
    <t>November 01-30, 2013</t>
  </si>
  <si>
    <t>11/01 - 11/30</t>
  </si>
  <si>
    <t>Invoice 353</t>
  </si>
  <si>
    <t>December 01-31, 2013</t>
  </si>
  <si>
    <t>Invoice XXX</t>
  </si>
  <si>
    <t>12/01 - 12/31</t>
  </si>
  <si>
    <t>Revised - #1</t>
  </si>
  <si>
    <t>to December 2013 Billing</t>
  </si>
  <si>
    <t xml:space="preserve">1  Additional capital costs of $263.80 hit the capital report after it was first run and it was not discovered until December.  Also, Capital project BP13C0168B Coleman </t>
  </si>
  <si>
    <t xml:space="preserve">FGD D-Recycle Pump did not qualify for capital and should have been expensed.  The full cost for August was $4,834.54 and the 12 day allocation was $ 1,871.44 and </t>
  </si>
  <si>
    <t>the net credit due Century is ($1,607.64) on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</si>
</sst>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0"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FF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 quotePrefix="1">
      <alignment horizontal="left"/>
    </xf>
    <xf numFmtId="0" fontId="2" fillId="0" borderId="1" xfId="0" applyFont="1" applyBorder="1" applyAlignment="1">
      <alignment horizontal="center"/>
    </xf>
    <xf numFmtId="17" fontId="2" fillId="0" borderId="0" xfId="0" applyNumberFormat="1" applyFont="1"/>
    <xf numFmtId="0" fontId="2" fillId="0" borderId="0" xfId="0" applyFont="1" applyAlignment="1">
      <alignment horizontal="left"/>
    </xf>
    <xf numFmtId="3" fontId="3" fillId="0" borderId="0" xfId="0" applyNumberFormat="1" applyFont="1"/>
    <xf numFmtId="0" fontId="2" fillId="2" borderId="0" xfId="0" applyFont="1" applyFill="1" applyAlignment="1">
      <alignment horizontal="left"/>
    </xf>
    <xf numFmtId="43" fontId="3" fillId="0" borderId="0" xfId="18" applyFont="1"/>
    <xf numFmtId="44" fontId="2" fillId="2" borderId="0" xfId="16" applyFont="1" applyFill="1"/>
    <xf numFmtId="164" fontId="3" fillId="0" borderId="0" xfId="0" applyNumberFormat="1" applyFont="1"/>
    <xf numFmtId="0" fontId="2" fillId="3" borderId="0" xfId="0" applyFont="1" applyFill="1" applyAlignment="1">
      <alignment horizontal="left"/>
    </xf>
    <xf numFmtId="4" fontId="3" fillId="0" borderId="0" xfId="0" applyNumberFormat="1" applyFont="1"/>
    <xf numFmtId="44" fontId="3" fillId="0" borderId="0" xfId="16" applyFont="1"/>
    <xf numFmtId="44" fontId="3" fillId="0" borderId="0" xfId="0" applyNumberFormat="1" applyFont="1"/>
    <xf numFmtId="0" fontId="2" fillId="0" borderId="0" xfId="0" applyFont="1"/>
    <xf numFmtId="43" fontId="2" fillId="3" borderId="0" xfId="18" applyFont="1" applyFill="1"/>
    <xf numFmtId="0" fontId="3" fillId="0" borderId="0" xfId="0" applyFont="1"/>
    <xf numFmtId="43" fontId="3" fillId="0" borderId="0" xfId="0" applyNumberFormat="1" applyFont="1"/>
    <xf numFmtId="44" fontId="2" fillId="2" borderId="0" xfId="16" applyNumberFormat="1" applyFont="1" applyFill="1"/>
    <xf numFmtId="44" fontId="3" fillId="0" borderId="0" xfId="18" applyNumberFormat="1" applyFont="1"/>
    <xf numFmtId="43" fontId="3" fillId="0" borderId="1" xfId="18" applyFont="1" applyBorder="1"/>
    <xf numFmtId="0" fontId="2" fillId="3" borderId="0" xfId="0" applyFont="1" applyFill="1"/>
    <xf numFmtId="44" fontId="2" fillId="3" borderId="0" xfId="18" applyNumberFormat="1" applyFont="1" applyFill="1"/>
    <xf numFmtId="10" fontId="3" fillId="0" borderId="1" xfId="15" applyNumberFormat="1" applyFont="1" applyBorder="1"/>
    <xf numFmtId="44" fontId="2" fillId="0" borderId="0" xfId="0" applyNumberFormat="1" applyFont="1"/>
    <xf numFmtId="44" fontId="2" fillId="3" borderId="0" xfId="0" applyNumberFormat="1" applyFont="1" applyFill="1"/>
    <xf numFmtId="0" fontId="2" fillId="0" borderId="0" xfId="0" applyFont="1" applyFill="1"/>
    <xf numFmtId="44" fontId="2" fillId="0" borderId="0" xfId="0" applyNumberFormat="1" applyFont="1" applyFill="1"/>
    <xf numFmtId="44" fontId="2" fillId="0" borderId="1" xfId="0" applyNumberFormat="1" applyFont="1" applyBorder="1"/>
    <xf numFmtId="43" fontId="4" fillId="0" borderId="2" xfId="0" applyNumberFormat="1" applyFont="1" applyBorder="1"/>
    <xf numFmtId="0" fontId="4" fillId="0" borderId="0" xfId="0" applyFont="1"/>
    <xf numFmtId="0" fontId="3" fillId="0" borderId="0" xfId="0" applyFont="1" applyAlignment="1" quotePrefix="1">
      <alignment horizontal="left"/>
    </xf>
    <xf numFmtId="44" fontId="3" fillId="4" borderId="0" xfId="18" applyNumberFormat="1" applyFont="1" applyFill="1"/>
    <xf numFmtId="3" fontId="3" fillId="4" borderId="0" xfId="0" applyNumberFormat="1" applyFont="1" applyFill="1"/>
    <xf numFmtId="43" fontId="3" fillId="4" borderId="0" xfId="18" applyFont="1" applyFill="1"/>
    <xf numFmtId="39" fontId="3" fillId="4" borderId="0" xfId="18" applyNumberFormat="1" applyFont="1" applyFill="1"/>
    <xf numFmtId="39" fontId="3" fillId="4" borderId="1" xfId="18" applyNumberFormat="1" applyFont="1" applyFill="1" applyBorder="1"/>
    <xf numFmtId="7" fontId="3" fillId="4" borderId="0" xfId="18" applyNumberFormat="1" applyFont="1" applyFill="1"/>
    <xf numFmtId="2" fontId="3" fillId="0" borderId="0" xfId="0" applyNumberFormat="1" applyFont="1"/>
    <xf numFmtId="44" fontId="3" fillId="4" borderId="0" xfId="16" applyFont="1" applyFill="1"/>
    <xf numFmtId="44" fontId="3" fillId="4" borderId="0" xfId="0" applyNumberFormat="1" applyFont="1" applyFill="1"/>
    <xf numFmtId="4" fontId="3" fillId="4" borderId="0" xfId="0" applyNumberFormat="1" applyFont="1" applyFill="1"/>
    <xf numFmtId="7" fontId="3" fillId="4" borderId="0" xfId="16" applyNumberFormat="1" applyFont="1" applyFill="1"/>
    <xf numFmtId="44" fontId="2" fillId="4" borderId="0" xfId="0" applyNumberFormat="1" applyFont="1" applyFill="1"/>
    <xf numFmtId="10" fontId="3" fillId="4" borderId="1" xfId="15" applyNumberFormat="1" applyFont="1" applyFill="1" applyBorder="1"/>
    <xf numFmtId="7" fontId="2" fillId="3" borderId="0" xfId="0" applyNumberFormat="1" applyFont="1" applyFill="1"/>
    <xf numFmtId="3" fontId="3" fillId="0" borderId="0" xfId="0" applyNumberFormat="1" applyFont="1" applyFill="1"/>
    <xf numFmtId="39" fontId="3" fillId="0" borderId="0" xfId="18" applyNumberFormat="1" applyFont="1" applyFill="1"/>
    <xf numFmtId="39" fontId="3" fillId="0" borderId="1" xfId="18" applyNumberFormat="1" applyFont="1" applyFill="1" applyBorder="1"/>
    <xf numFmtId="4" fontId="3" fillId="0" borderId="0" xfId="0" applyNumberFormat="1" applyFont="1" applyFill="1"/>
    <xf numFmtId="44" fontId="3" fillId="0" borderId="0" xfId="16" applyFont="1" applyFill="1"/>
    <xf numFmtId="44" fontId="3" fillId="0" borderId="0" xfId="18" applyNumberFormat="1" applyFont="1" applyFill="1"/>
    <xf numFmtId="43" fontId="3" fillId="0" borderId="0" xfId="18" applyFont="1" applyFill="1"/>
    <xf numFmtId="10" fontId="3" fillId="0" borderId="1" xfId="15" applyNumberFormat="1" applyFont="1" applyFill="1" applyBorder="1"/>
    <xf numFmtId="7" fontId="3" fillId="0" borderId="0" xfId="16" applyNumberFormat="1" applyFont="1" applyFill="1"/>
    <xf numFmtId="7" fontId="2" fillId="0" borderId="0" xfId="0" applyNumberFormat="1" applyFont="1" applyFill="1"/>
    <xf numFmtId="39" fontId="3" fillId="0" borderId="0" xfId="0" applyNumberFormat="1" applyFont="1"/>
    <xf numFmtId="164" fontId="3" fillId="0" borderId="0" xfId="0" applyNumberFormat="1" applyFont="1" applyFill="1"/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3" fillId="0" borderId="0" xfId="0" applyFont="1" applyFill="1"/>
    <xf numFmtId="0" fontId="7" fillId="0" borderId="0" xfId="0" applyFont="1" applyFill="1" applyAlignment="1">
      <alignment horizontal="left" vertical="top"/>
    </xf>
    <xf numFmtId="43" fontId="3" fillId="0" borderId="0" xfId="0" applyNumberFormat="1" applyFont="1" applyFill="1"/>
    <xf numFmtId="44" fontId="3" fillId="0" borderId="0" xfId="0" applyNumberFormat="1" applyFont="1" applyFill="1"/>
    <xf numFmtId="44" fontId="3" fillId="4" borderId="1" xfId="16" applyFont="1" applyFill="1" applyBorder="1"/>
    <xf numFmtId="44" fontId="3" fillId="0" borderId="1" xfId="16" applyFont="1" applyBorder="1"/>
    <xf numFmtId="44" fontId="3" fillId="0" borderId="1" xfId="18" applyNumberFormat="1" applyFont="1" applyFill="1" applyBorder="1"/>
    <xf numFmtId="44" fontId="4" fillId="0" borderId="2" xfId="0" applyNumberFormat="1" applyFont="1" applyBorder="1"/>
    <xf numFmtId="44" fontId="2" fillId="0" borderId="0" xfId="16" applyFont="1"/>
    <xf numFmtId="0" fontId="3" fillId="0" borderId="1" xfId="0" applyFont="1" applyBorder="1"/>
    <xf numFmtId="39" fontId="3" fillId="0" borderId="1" xfId="0" applyNumberFormat="1" applyFont="1" applyBorder="1"/>
    <xf numFmtId="164" fontId="3" fillId="0" borderId="1" xfId="0" applyNumberFormat="1" applyFont="1" applyBorder="1"/>
    <xf numFmtId="44" fontId="2" fillId="0" borderId="0" xfId="0" applyNumberFormat="1" applyFont="1" applyBorder="1"/>
    <xf numFmtId="44" fontId="3" fillId="0" borderId="0" xfId="18" applyNumberFormat="1" applyFont="1" applyFill="1" applyBorder="1"/>
    <xf numFmtId="39" fontId="3" fillId="0" borderId="0" xfId="18" applyNumberFormat="1" applyFont="1" applyFill="1" applyBorder="1"/>
    <xf numFmtId="44" fontId="2" fillId="0" borderId="0" xfId="16" applyNumberFormat="1" applyFont="1" applyFill="1"/>
    <xf numFmtId="44" fontId="2" fillId="0" borderId="0" xfId="16" applyFont="1" applyFill="1"/>
    <xf numFmtId="17" fontId="2" fillId="0" borderId="0" xfId="0" applyNumberFormat="1" applyFont="1" applyFill="1"/>
    <xf numFmtId="44" fontId="2" fillId="0" borderId="0" xfId="16" applyNumberFormat="1" applyFont="1" applyFill="1" applyBorder="1"/>
    <xf numFmtId="44" fontId="2" fillId="0" borderId="0" xfId="16" applyFont="1" applyFill="1" applyBorder="1"/>
    <xf numFmtId="164" fontId="3" fillId="0" borderId="0" xfId="0" applyNumberFormat="1" applyFont="1" applyFill="1" applyBorder="1"/>
    <xf numFmtId="17" fontId="2" fillId="0" borderId="0" xfId="0" applyNumberFormat="1" applyFont="1" applyFill="1" applyBorder="1"/>
    <xf numFmtId="44" fontId="3" fillId="0" borderId="0" xfId="16" applyFont="1" applyFill="1" applyBorder="1"/>
    <xf numFmtId="7" fontId="3" fillId="0" borderId="0" xfId="18" applyNumberFormat="1" applyFont="1" applyFill="1"/>
    <xf numFmtId="43" fontId="2" fillId="0" borderId="0" xfId="18" applyFont="1" applyFill="1"/>
    <xf numFmtId="43" fontId="3" fillId="0" borderId="0" xfId="18" applyFont="1" applyFill="1" applyBorder="1"/>
    <xf numFmtId="10" fontId="3" fillId="0" borderId="0" xfId="15" applyNumberFormat="1" applyFont="1" applyFill="1" applyBorder="1"/>
    <xf numFmtId="44" fontId="2" fillId="0" borderId="0" xfId="18" applyNumberFormat="1" applyFont="1" applyFill="1" applyBorder="1"/>
    <xf numFmtId="44" fontId="3" fillId="4" borderId="0" xfId="16" applyNumberFormat="1" applyFont="1" applyFill="1"/>
    <xf numFmtId="44" fontId="3" fillId="0" borderId="0" xfId="16" applyNumberFormat="1" applyFont="1" applyFill="1"/>
    <xf numFmtId="44" fontId="2" fillId="0" borderId="0" xfId="18" applyNumberFormat="1" applyFont="1" applyFill="1"/>
    <xf numFmtId="44" fontId="2" fillId="0" borderId="0" xfId="0" applyNumberFormat="1" applyFont="1" applyFill="1" applyBorder="1"/>
    <xf numFmtId="43" fontId="4" fillId="0" borderId="0" xfId="0" applyNumberFormat="1" applyFont="1" applyFill="1" applyBorder="1"/>
    <xf numFmtId="44" fontId="3" fillId="4" borderId="1" xfId="18" applyNumberFormat="1" applyFont="1" applyFill="1" applyBorder="1"/>
    <xf numFmtId="44" fontId="3" fillId="0" borderId="1" xfId="18" applyNumberFormat="1" applyFont="1" applyBorder="1"/>
    <xf numFmtId="0" fontId="3" fillId="0" borderId="1" xfId="0" applyFont="1" applyFill="1" applyBorder="1"/>
    <xf numFmtId="44" fontId="2" fillId="2" borderId="0" xfId="16" applyNumberFormat="1" applyFont="1" applyFill="1" applyBorder="1"/>
    <xf numFmtId="44" fontId="2" fillId="2" borderId="0" xfId="16" applyFont="1" applyFill="1" applyBorder="1"/>
    <xf numFmtId="44" fontId="3" fillId="0" borderId="1" xfId="0" applyNumberFormat="1" applyFont="1" applyBorder="1"/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44" fontId="3" fillId="0" borderId="0" xfId="16" applyFont="1" applyBorder="1"/>
    <xf numFmtId="10" fontId="3" fillId="0" borderId="0" xfId="15" applyNumberFormat="1" applyFont="1" applyBorder="1"/>
    <xf numFmtId="0" fontId="3" fillId="0" borderId="0" xfId="0" applyFont="1" applyBorder="1"/>
    <xf numFmtId="44" fontId="4" fillId="0" borderId="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workbookViewId="0" topLeftCell="A30">
      <selection activeCell="B47" sqref="B47"/>
    </sheetView>
  </sheetViews>
  <sheetFormatPr defaultColWidth="9.140625" defaultRowHeight="12.75"/>
  <cols>
    <col min="1" max="1" width="41.421875" style="16" bestFit="1" customWidth="1"/>
    <col min="2" max="2" width="25.28125" style="16" customWidth="1"/>
    <col min="3" max="3" width="9.140625" style="16" customWidth="1"/>
    <col min="4" max="4" width="12.8515625" style="16" bestFit="1" customWidth="1"/>
    <col min="5" max="5" width="18.8515625" style="16" bestFit="1" customWidth="1"/>
    <col min="6" max="16384" width="9.140625" style="16" customWidth="1"/>
  </cols>
  <sheetData>
    <row r="1" ht="15.75">
      <c r="A1" s="14" t="s">
        <v>34</v>
      </c>
    </row>
    <row r="2" ht="15.75">
      <c r="A2" s="14" t="s">
        <v>87</v>
      </c>
    </row>
    <row r="3" ht="15.75">
      <c r="A3" s="26" t="s">
        <v>88</v>
      </c>
    </row>
    <row r="5" spans="1:2" ht="15.75">
      <c r="A5" s="1" t="s">
        <v>33</v>
      </c>
      <c r="B5" s="2" t="s">
        <v>27</v>
      </c>
    </row>
    <row r="6" ht="15.75">
      <c r="B6" s="3" t="s">
        <v>89</v>
      </c>
    </row>
    <row r="7" spans="1:2" ht="15.75">
      <c r="A7" s="4" t="s">
        <v>0</v>
      </c>
      <c r="B7" s="33">
        <v>293105</v>
      </c>
    </row>
    <row r="8" spans="1:2" ht="15.75">
      <c r="A8" s="4"/>
      <c r="B8" s="5"/>
    </row>
    <row r="9" spans="1:2" ht="15.75">
      <c r="A9" s="6" t="s">
        <v>1</v>
      </c>
      <c r="B9" s="3" t="str">
        <f>B6</f>
        <v>12/01 - 12/31</v>
      </c>
    </row>
    <row r="10" spans="1:2" ht="15.75">
      <c r="A10" s="4" t="s">
        <v>2</v>
      </c>
      <c r="B10" s="37">
        <v>896964.69</v>
      </c>
    </row>
    <row r="11" spans="1:2" ht="15.75">
      <c r="A11" s="4" t="s">
        <v>3</v>
      </c>
      <c r="B11" s="35">
        <v>869576.3</v>
      </c>
    </row>
    <row r="12" spans="1:2" ht="15.75">
      <c r="A12" s="4" t="s">
        <v>4</v>
      </c>
      <c r="B12" s="35">
        <v>292301.04</v>
      </c>
    </row>
    <row r="13" spans="1:2" ht="15.75">
      <c r="A13" s="4" t="s">
        <v>5</v>
      </c>
      <c r="B13" s="36">
        <v>-1681.9</v>
      </c>
    </row>
    <row r="14" spans="1:2" ht="15.75">
      <c r="A14" s="6" t="s">
        <v>6</v>
      </c>
      <c r="B14" s="18">
        <f>SUM(B10:B13)</f>
        <v>2057160.1300000001</v>
      </c>
    </row>
    <row r="15" spans="1:2" ht="15.75">
      <c r="A15" s="6" t="s">
        <v>7</v>
      </c>
      <c r="B15" s="8">
        <f>B14/B7</f>
        <v>7.018509169069105</v>
      </c>
    </row>
    <row r="16" spans="1:2" ht="15.75">
      <c r="A16" s="4"/>
      <c r="B16" s="9"/>
    </row>
    <row r="17" spans="1:2" ht="15.75">
      <c r="A17" s="6" t="s">
        <v>55</v>
      </c>
      <c r="B17" s="3" t="str">
        <f>B6</f>
        <v>12/01 - 12/31</v>
      </c>
    </row>
    <row r="18" spans="1:2" ht="15.75">
      <c r="A18" s="4" t="s">
        <v>55</v>
      </c>
      <c r="B18" s="98">
        <v>111449.79</v>
      </c>
    </row>
    <row r="19" spans="1:2" ht="15.75">
      <c r="A19" s="6" t="s">
        <v>56</v>
      </c>
      <c r="B19" s="18">
        <f>B18</f>
        <v>111449.79</v>
      </c>
    </row>
    <row r="20" spans="1:2" ht="15.75">
      <c r="A20" s="6" t="s">
        <v>57</v>
      </c>
      <c r="B20" s="8">
        <f>B19/B7</f>
        <v>0.38023844697292775</v>
      </c>
    </row>
    <row r="21" spans="1:2" ht="15.75">
      <c r="A21" s="4"/>
      <c r="B21" s="9"/>
    </row>
    <row r="22" spans="1:2" ht="15.75">
      <c r="A22" s="10" t="s">
        <v>8</v>
      </c>
      <c r="B22" s="3" t="str">
        <f>B6</f>
        <v>12/01 - 12/31</v>
      </c>
    </row>
    <row r="23" spans="1:2" ht="15.75">
      <c r="A23" s="4" t="s">
        <v>9</v>
      </c>
      <c r="B23" s="41">
        <f>44883.95+43585.3+50787.75</f>
        <v>139257</v>
      </c>
    </row>
    <row r="24" spans="1:5" ht="15.75">
      <c r="A24" s="4" t="s">
        <v>10</v>
      </c>
      <c r="B24" s="39">
        <f>2505202.16+2432717.88+2834723.35</f>
        <v>7772643.390000001</v>
      </c>
      <c r="E24" s="38"/>
    </row>
    <row r="25" spans="1:2" ht="15.75">
      <c r="A25" s="4" t="s">
        <v>11</v>
      </c>
      <c r="B25" s="13">
        <f aca="true" t="shared" si="0" ref="B25">B24/B7</f>
        <v>26.518289998464716</v>
      </c>
    </row>
    <row r="26" spans="1:5" ht="15.75">
      <c r="A26" s="4" t="s">
        <v>12</v>
      </c>
      <c r="B26" s="13">
        <f>6850341.36/2881660.47</f>
        <v>2.377220158764922</v>
      </c>
      <c r="E26" s="38"/>
    </row>
    <row r="27" spans="1:2" ht="15.75">
      <c r="A27" s="4" t="s">
        <v>29</v>
      </c>
      <c r="B27" s="41">
        <v>3956.1</v>
      </c>
    </row>
    <row r="28" spans="1:2" ht="15.75">
      <c r="A28" s="4" t="s">
        <v>13</v>
      </c>
      <c r="B28" s="39">
        <v>20448.57</v>
      </c>
    </row>
    <row r="29" spans="1:2" ht="15.75">
      <c r="A29" s="4" t="s">
        <v>14</v>
      </c>
      <c r="B29" s="12">
        <f>B28/B7</f>
        <v>0.06976534006584671</v>
      </c>
    </row>
    <row r="30" spans="1:2" ht="15.75">
      <c r="A30" s="4" t="s">
        <v>30</v>
      </c>
      <c r="B30" s="41">
        <v>12507</v>
      </c>
    </row>
    <row r="31" spans="1:2" ht="15.75">
      <c r="A31" s="4" t="s">
        <v>31</v>
      </c>
      <c r="B31" s="39">
        <v>147461.24</v>
      </c>
    </row>
    <row r="32" spans="1:2" ht="15.75">
      <c r="A32" s="4" t="s">
        <v>32</v>
      </c>
      <c r="B32" s="12">
        <f>B31/B7</f>
        <v>0.5031003906449907</v>
      </c>
    </row>
    <row r="33" spans="1:2" ht="15.75">
      <c r="A33" s="4" t="s">
        <v>15</v>
      </c>
      <c r="B33" s="32">
        <v>26572.55</v>
      </c>
    </row>
    <row r="34" spans="1:2" ht="15.75">
      <c r="A34" s="4" t="s">
        <v>16</v>
      </c>
      <c r="B34" s="12">
        <f>B33/B7</f>
        <v>0.09065880827689736</v>
      </c>
    </row>
    <row r="35" spans="1:2" ht="15.75">
      <c r="A35" s="14" t="s">
        <v>17</v>
      </c>
      <c r="B35" s="32">
        <v>21506.34</v>
      </c>
    </row>
    <row r="36" spans="1:2" ht="15.75">
      <c r="A36" s="4" t="s">
        <v>18</v>
      </c>
      <c r="B36" s="65">
        <f>_xlfn.IFERROR(B35/B7,2)</f>
        <v>0.07337418331314717</v>
      </c>
    </row>
    <row r="37" spans="1:5" ht="15.75">
      <c r="A37" s="10" t="s">
        <v>19</v>
      </c>
      <c r="B37" s="32">
        <f>B24+B28+B31+B33+B35</f>
        <v>7988632.090000001</v>
      </c>
      <c r="D37" s="17"/>
      <c r="E37" s="7"/>
    </row>
    <row r="38" spans="1:2" ht="15.75">
      <c r="A38" s="10" t="s">
        <v>20</v>
      </c>
      <c r="B38" s="15">
        <f>B37/B7</f>
        <v>27.2551887207656</v>
      </c>
    </row>
    <row r="39" spans="1:2" ht="15.75">
      <c r="A39" s="4"/>
      <c r="B39" s="9"/>
    </row>
    <row r="40" spans="1:2" ht="15.75">
      <c r="A40" s="4"/>
      <c r="B40" s="9"/>
    </row>
    <row r="41" spans="1:2" ht="15.75">
      <c r="A41" s="4"/>
      <c r="B41" s="3" t="str">
        <f>B6</f>
        <v>12/01 - 12/31</v>
      </c>
    </row>
    <row r="42" spans="1:5" ht="15.75">
      <c r="A42" s="4" t="s">
        <v>21</v>
      </c>
      <c r="B42" s="34">
        <f>7974184.2+247124.42+29867.18</f>
        <v>8251175.8</v>
      </c>
      <c r="E42" s="38"/>
    </row>
    <row r="43" spans="1:2" ht="15.75">
      <c r="A43" s="4" t="s">
        <v>22</v>
      </c>
      <c r="B43" s="34">
        <v>1463399.83</v>
      </c>
    </row>
    <row r="44" spans="1:2" ht="15.75">
      <c r="A44" s="4" t="s">
        <v>47</v>
      </c>
      <c r="B44" s="34">
        <v>187949.82</v>
      </c>
    </row>
    <row r="45" spans="1:2" ht="15.75">
      <c r="A45" s="14" t="s">
        <v>62</v>
      </c>
      <c r="B45" s="7">
        <f>SUM(B42:B44)</f>
        <v>9902525.45</v>
      </c>
    </row>
    <row r="46" spans="1:2" ht="15.75">
      <c r="A46" s="14" t="s">
        <v>25</v>
      </c>
      <c r="B46" s="44">
        <v>0.0785</v>
      </c>
    </row>
    <row r="47" spans="1:5" ht="15.75">
      <c r="A47" s="21" t="s">
        <v>26</v>
      </c>
      <c r="B47" s="22">
        <f>ROUND(B45*B46/365*31,2)</f>
        <v>66021.36</v>
      </c>
      <c r="E47" s="13"/>
    </row>
    <row r="48" spans="1:2" ht="15.75">
      <c r="A48" s="14"/>
      <c r="B48" s="9"/>
    </row>
    <row r="50" spans="1:2" ht="15.75">
      <c r="A50" s="1" t="s">
        <v>40</v>
      </c>
      <c r="B50" s="3" t="str">
        <f>B6</f>
        <v>12/01 - 12/31</v>
      </c>
    </row>
    <row r="51" spans="1:2" ht="15.75">
      <c r="A51" s="1" t="s">
        <v>53</v>
      </c>
      <c r="B51" s="42">
        <v>0</v>
      </c>
    </row>
    <row r="52" spans="1:2" ht="15.75">
      <c r="A52" s="14" t="s">
        <v>37</v>
      </c>
      <c r="B52" s="3" t="s">
        <v>38</v>
      </c>
    </row>
    <row r="53" spans="1:2" ht="15.75">
      <c r="A53" s="26" t="s">
        <v>39</v>
      </c>
      <c r="B53" s="42">
        <v>26798.45</v>
      </c>
    </row>
    <row r="54" spans="1:2" ht="15.75">
      <c r="A54" s="26" t="s">
        <v>36</v>
      </c>
      <c r="B54" s="42">
        <v>2075</v>
      </c>
    </row>
    <row r="55" spans="1:2" ht="15.75">
      <c r="A55" s="14" t="s">
        <v>41</v>
      </c>
      <c r="B55" s="3" t="s">
        <v>38</v>
      </c>
    </row>
    <row r="56" spans="1:3" ht="15.75">
      <c r="A56" s="26" t="s">
        <v>42</v>
      </c>
      <c r="B56" s="27">
        <v>0</v>
      </c>
      <c r="C56" s="31" t="s">
        <v>50</v>
      </c>
    </row>
    <row r="57" spans="1:3" ht="15.75">
      <c r="A57" s="14" t="s">
        <v>43</v>
      </c>
      <c r="B57" s="24">
        <v>0</v>
      </c>
      <c r="C57" s="16" t="s">
        <v>49</v>
      </c>
    </row>
    <row r="58" spans="1:2" ht="15.75">
      <c r="A58" s="14" t="s">
        <v>44</v>
      </c>
      <c r="B58" s="28" t="s">
        <v>38</v>
      </c>
    </row>
    <row r="59" spans="1:2" ht="15.75">
      <c r="A59" s="21" t="s">
        <v>46</v>
      </c>
      <c r="B59" s="45">
        <f>SUM(B51:B58)</f>
        <v>28873.45</v>
      </c>
    </row>
    <row r="60" spans="1:2" ht="15.75">
      <c r="A60" s="14"/>
      <c r="B60" s="24"/>
    </row>
    <row r="61" spans="1:2" ht="15.75">
      <c r="A61" s="14"/>
      <c r="B61" s="24"/>
    </row>
    <row r="62" spans="1:2" ht="15.75">
      <c r="A62" s="14"/>
      <c r="B62" s="24"/>
    </row>
    <row r="63" spans="1:2" ht="15.75">
      <c r="A63" s="21" t="s">
        <v>45</v>
      </c>
      <c r="B63" s="43">
        <v>3909.97</v>
      </c>
    </row>
    <row r="64" spans="1:2" ht="15.75">
      <c r="A64" s="14"/>
      <c r="B64" s="14"/>
    </row>
    <row r="67" spans="1:2" ht="16.5" thickBot="1">
      <c r="A67" s="30" t="s">
        <v>48</v>
      </c>
      <c r="B67" s="67">
        <f>+B14+B19+B37+B47+B59+B63</f>
        <v>10256046.790000001</v>
      </c>
    </row>
    <row r="68" ht="15.75" thickTop="1"/>
  </sheetData>
  <printOptions/>
  <pageMargins left="0.7" right="0.7" top="0.75" bottom="0.75" header="0.3" footer="0.3"/>
  <pageSetup fitToHeight="1" fitToWidth="1" horizontalDpi="600" verticalDpi="600" orientation="portrait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workbookViewId="0" topLeftCell="A11">
      <selection activeCell="B39" sqref="B39"/>
    </sheetView>
  </sheetViews>
  <sheetFormatPr defaultColWidth="9.140625" defaultRowHeight="12.75"/>
  <cols>
    <col min="1" max="1" width="41.421875" style="16" bestFit="1" customWidth="1"/>
    <col min="2" max="2" width="25.28125" style="16" customWidth="1"/>
    <col min="3" max="3" width="9.140625" style="16" customWidth="1"/>
    <col min="4" max="4" width="12.8515625" style="16" bestFit="1" customWidth="1"/>
    <col min="5" max="5" width="17.57421875" style="16" bestFit="1" customWidth="1"/>
    <col min="6" max="16384" width="9.140625" style="16" customWidth="1"/>
  </cols>
  <sheetData>
    <row r="1" ht="15.75">
      <c r="A1" s="14" t="s">
        <v>34</v>
      </c>
    </row>
    <row r="2" ht="15.75">
      <c r="A2" s="14" t="s">
        <v>84</v>
      </c>
    </row>
    <row r="3" ht="15.75">
      <c r="A3" s="26" t="s">
        <v>86</v>
      </c>
    </row>
    <row r="5" spans="1:2" ht="15.75">
      <c r="A5" s="1" t="s">
        <v>33</v>
      </c>
      <c r="B5" s="2" t="s">
        <v>27</v>
      </c>
    </row>
    <row r="6" ht="15.75">
      <c r="B6" s="3" t="s">
        <v>85</v>
      </c>
    </row>
    <row r="7" spans="1:2" ht="15.75">
      <c r="A7" s="4" t="s">
        <v>0</v>
      </c>
      <c r="B7" s="33">
        <v>262468</v>
      </c>
    </row>
    <row r="8" spans="1:2" ht="15.75">
      <c r="A8" s="4"/>
      <c r="B8" s="5"/>
    </row>
    <row r="9" spans="1:2" ht="15.75">
      <c r="A9" s="6" t="s">
        <v>1</v>
      </c>
      <c r="B9" s="3" t="str">
        <f>B6</f>
        <v>11/01 - 11/30</v>
      </c>
    </row>
    <row r="10" spans="1:2" ht="15.75">
      <c r="A10" s="4" t="s">
        <v>2</v>
      </c>
      <c r="B10" s="37">
        <v>710121.68</v>
      </c>
    </row>
    <row r="11" spans="1:2" ht="15.75">
      <c r="A11" s="4" t="s">
        <v>3</v>
      </c>
      <c r="B11" s="35">
        <v>869710.47</v>
      </c>
    </row>
    <row r="12" spans="1:2" ht="15.75">
      <c r="A12" s="4" t="s">
        <v>4</v>
      </c>
      <c r="B12" s="35">
        <v>289400.95</v>
      </c>
    </row>
    <row r="13" spans="1:2" ht="15.75">
      <c r="A13" s="4" t="s">
        <v>5</v>
      </c>
      <c r="B13" s="36">
        <v>4357.65</v>
      </c>
    </row>
    <row r="14" spans="1:2" ht="15.75">
      <c r="A14" s="6" t="s">
        <v>6</v>
      </c>
      <c r="B14" s="18">
        <f>SUM(B10:B13)</f>
        <v>1873590.7499999998</v>
      </c>
    </row>
    <row r="15" spans="1:2" ht="15.75">
      <c r="A15" s="6" t="s">
        <v>7</v>
      </c>
      <c r="B15" s="8">
        <f>B14/B7</f>
        <v>7.138358771354984</v>
      </c>
    </row>
    <row r="16" spans="1:2" ht="15.75">
      <c r="A16" s="4"/>
      <c r="B16" s="9"/>
    </row>
    <row r="17" spans="1:2" ht="15.75">
      <c r="A17" s="6" t="s">
        <v>55</v>
      </c>
      <c r="B17" s="3" t="str">
        <f>B6</f>
        <v>11/01 - 11/30</v>
      </c>
    </row>
    <row r="18" spans="1:2" ht="15.75">
      <c r="A18" s="4" t="s">
        <v>55</v>
      </c>
      <c r="B18" s="98">
        <v>405090.75</v>
      </c>
    </row>
    <row r="19" spans="1:2" ht="15.75">
      <c r="A19" s="6" t="s">
        <v>56</v>
      </c>
      <c r="B19" s="18">
        <f>B18</f>
        <v>405090.75</v>
      </c>
    </row>
    <row r="20" spans="1:2" ht="15.75">
      <c r="A20" s="6" t="s">
        <v>57</v>
      </c>
      <c r="B20" s="8">
        <f>B19/B7</f>
        <v>1.5433910038557082</v>
      </c>
    </row>
    <row r="21" spans="1:2" ht="15.75">
      <c r="A21" s="4"/>
      <c r="B21" s="9"/>
    </row>
    <row r="22" spans="1:2" ht="15.75">
      <c r="A22" s="10" t="s">
        <v>8</v>
      </c>
      <c r="B22" s="3" t="str">
        <f>B6</f>
        <v>11/01 - 11/30</v>
      </c>
    </row>
    <row r="23" spans="1:2" ht="15.75">
      <c r="A23" s="4" t="s">
        <v>9</v>
      </c>
      <c r="B23" s="41">
        <f>40682.1+44488.05+40246.15</f>
        <v>125416.29999999999</v>
      </c>
    </row>
    <row r="24" spans="1:5" ht="15.75">
      <c r="A24" s="4" t="s">
        <v>10</v>
      </c>
      <c r="B24" s="39">
        <f>2286472.34+2500379.67+2261970.47</f>
        <v>7048822.48</v>
      </c>
      <c r="E24" s="38"/>
    </row>
    <row r="25" spans="1:2" ht="15.75">
      <c r="A25" s="4" t="s">
        <v>11</v>
      </c>
      <c r="B25" s="13">
        <f aca="true" t="shared" si="0" ref="B25">B24/B7</f>
        <v>26.85593093253273</v>
      </c>
    </row>
    <row r="26" spans="1:5" ht="15.75">
      <c r="A26" s="4" t="s">
        <v>12</v>
      </c>
      <c r="B26" s="13">
        <f>6850341.36/2881660.47</f>
        <v>2.377220158764922</v>
      </c>
      <c r="E26" s="38"/>
    </row>
    <row r="27" spans="1:2" ht="15.75">
      <c r="A27" s="4" t="s">
        <v>29</v>
      </c>
      <c r="B27" s="41">
        <v>3431.7</v>
      </c>
    </row>
    <row r="28" spans="1:2" ht="15.75">
      <c r="A28" s="4" t="s">
        <v>13</v>
      </c>
      <c r="B28" s="39">
        <v>20263.23</v>
      </c>
    </row>
    <row r="29" spans="1:2" ht="15.75">
      <c r="A29" s="4" t="s">
        <v>14</v>
      </c>
      <c r="B29" s="12">
        <f>B28/B7</f>
        <v>0.07720266851578098</v>
      </c>
    </row>
    <row r="30" spans="1:2" ht="15.75">
      <c r="A30" s="4" t="s">
        <v>30</v>
      </c>
      <c r="B30" s="41">
        <v>12635.55</v>
      </c>
    </row>
    <row r="31" spans="1:2" ht="15.75">
      <c r="A31" s="4" t="s">
        <v>31</v>
      </c>
      <c r="B31" s="39">
        <v>201415.08</v>
      </c>
    </row>
    <row r="32" spans="1:2" ht="15.75">
      <c r="A32" s="4" t="s">
        <v>32</v>
      </c>
      <c r="B32" s="12">
        <f>B31/B7</f>
        <v>0.7673890912415989</v>
      </c>
    </row>
    <row r="33" spans="1:2" ht="15.75">
      <c r="A33" s="4" t="s">
        <v>15</v>
      </c>
      <c r="B33" s="32">
        <v>91474.81</v>
      </c>
    </row>
    <row r="34" spans="1:2" ht="15.75">
      <c r="A34" s="4" t="s">
        <v>16</v>
      </c>
      <c r="B34" s="12">
        <f>B33/B7</f>
        <v>0.3485179526647058</v>
      </c>
    </row>
    <row r="35" spans="1:2" ht="15.75">
      <c r="A35" s="14" t="s">
        <v>17</v>
      </c>
      <c r="B35" s="32">
        <v>21246.35</v>
      </c>
    </row>
    <row r="36" spans="1:2" ht="15.75">
      <c r="A36" s="4" t="s">
        <v>18</v>
      </c>
      <c r="B36" s="65">
        <f>_xlfn.IFERROR(B35/B7,2)</f>
        <v>0.08094834417909992</v>
      </c>
    </row>
    <row r="37" spans="1:5" ht="15.75">
      <c r="A37" s="10" t="s">
        <v>19</v>
      </c>
      <c r="B37" s="32">
        <f>B24+B28+B31+B33+B35</f>
        <v>7383221.95</v>
      </c>
      <c r="D37" s="17"/>
      <c r="E37" s="7"/>
    </row>
    <row r="38" spans="1:2" ht="15.75">
      <c r="A38" s="10" t="s">
        <v>20</v>
      </c>
      <c r="B38" s="15">
        <f>B37/B7</f>
        <v>28.129988989133913</v>
      </c>
    </row>
    <row r="39" spans="1:2" ht="15.75">
      <c r="A39" s="4"/>
      <c r="B39" s="9"/>
    </row>
    <row r="40" spans="1:2" ht="15.75">
      <c r="A40" s="4"/>
      <c r="B40" s="9"/>
    </row>
    <row r="41" spans="1:2" ht="15.75">
      <c r="A41" s="4"/>
      <c r="B41" s="3" t="str">
        <f>B6</f>
        <v>11/01 - 11/30</v>
      </c>
    </row>
    <row r="42" spans="1:5" ht="15.75">
      <c r="A42" s="4" t="s">
        <v>21</v>
      </c>
      <c r="B42" s="34">
        <f>8174909.97+1640124.29+32895.66</f>
        <v>9847929.92</v>
      </c>
      <c r="E42" s="38"/>
    </row>
    <row r="43" spans="1:2" ht="15.75">
      <c r="A43" s="4" t="s">
        <v>22</v>
      </c>
      <c r="B43" s="7">
        <v>1489150.92</v>
      </c>
    </row>
    <row r="44" spans="1:2" ht="15.75">
      <c r="A44" s="4" t="s">
        <v>47</v>
      </c>
      <c r="B44" s="34">
        <v>217163.36</v>
      </c>
    </row>
    <row r="45" spans="1:2" ht="15.75">
      <c r="A45" s="14" t="s">
        <v>62</v>
      </c>
      <c r="B45" s="7">
        <f>SUM(B42:B44)</f>
        <v>11554244.2</v>
      </c>
    </row>
    <row r="46" spans="1:2" ht="15.75">
      <c r="A46" s="14" t="s">
        <v>25</v>
      </c>
      <c r="B46" s="44">
        <v>0.0785</v>
      </c>
    </row>
    <row r="47" spans="1:2" ht="15.75">
      <c r="A47" s="21" t="s">
        <v>26</v>
      </c>
      <c r="B47" s="22">
        <f>ROUND(B45*B46/365*30,2)</f>
        <v>74548.62</v>
      </c>
    </row>
    <row r="48" spans="1:2" ht="15.75">
      <c r="A48" s="14"/>
      <c r="B48" s="9"/>
    </row>
    <row r="50" spans="1:2" ht="15.75">
      <c r="A50" s="1" t="s">
        <v>40</v>
      </c>
      <c r="B50" s="3" t="str">
        <f>B6</f>
        <v>11/01 - 11/30</v>
      </c>
    </row>
    <row r="51" spans="1:2" ht="15.75">
      <c r="A51" s="1" t="s">
        <v>53</v>
      </c>
      <c r="B51" s="42">
        <v>34919.09</v>
      </c>
    </row>
    <row r="52" spans="1:2" ht="15.75">
      <c r="A52" s="14" t="s">
        <v>37</v>
      </c>
      <c r="B52" s="3" t="s">
        <v>38</v>
      </c>
    </row>
    <row r="53" spans="1:2" ht="15.75">
      <c r="A53" s="26" t="s">
        <v>39</v>
      </c>
      <c r="B53" s="42">
        <v>0</v>
      </c>
    </row>
    <row r="54" spans="1:2" ht="15.75">
      <c r="A54" s="26" t="s">
        <v>36</v>
      </c>
      <c r="B54" s="42">
        <v>2075</v>
      </c>
    </row>
    <row r="55" spans="1:2" ht="15.75">
      <c r="A55" s="14" t="s">
        <v>41</v>
      </c>
      <c r="B55" s="3" t="s">
        <v>38</v>
      </c>
    </row>
    <row r="56" spans="1:3" ht="15.75">
      <c r="A56" s="26" t="s">
        <v>42</v>
      </c>
      <c r="B56" s="27">
        <v>0</v>
      </c>
      <c r="C56" s="31" t="s">
        <v>50</v>
      </c>
    </row>
    <row r="57" spans="1:3" ht="15.75">
      <c r="A57" s="14" t="s">
        <v>43</v>
      </c>
      <c r="B57" s="24">
        <v>0</v>
      </c>
      <c r="C57" s="16" t="s">
        <v>49</v>
      </c>
    </row>
    <row r="58" spans="1:2" ht="15.75">
      <c r="A58" s="14" t="s">
        <v>44</v>
      </c>
      <c r="B58" s="28" t="s">
        <v>38</v>
      </c>
    </row>
    <row r="59" spans="1:2" ht="15.75">
      <c r="A59" s="21" t="s">
        <v>46</v>
      </c>
      <c r="B59" s="45">
        <f>SUM(B51:B58)</f>
        <v>36994.09</v>
      </c>
    </row>
    <row r="60" spans="1:2" ht="15.75">
      <c r="A60" s="14"/>
      <c r="B60" s="24"/>
    </row>
    <row r="61" spans="1:2" ht="15.75">
      <c r="A61" s="14"/>
      <c r="B61" s="24"/>
    </row>
    <row r="62" spans="1:2" ht="15.75">
      <c r="A62" s="14"/>
      <c r="B62" s="24"/>
    </row>
    <row r="63" spans="1:2" ht="15.75">
      <c r="A63" s="21" t="s">
        <v>45</v>
      </c>
      <c r="B63" s="43">
        <v>3909.97</v>
      </c>
    </row>
    <row r="64" spans="1:2" ht="15.75">
      <c r="A64" s="14"/>
      <c r="B64" s="14"/>
    </row>
    <row r="67" spans="1:2" ht="16.5" thickBot="1">
      <c r="A67" s="30" t="s">
        <v>48</v>
      </c>
      <c r="B67" s="67">
        <f>+B14+B19+B37+B47+B59+B63</f>
        <v>9777356.129999999</v>
      </c>
    </row>
    <row r="68" ht="15.75" thickTop="1"/>
  </sheetData>
  <printOptions/>
  <pageMargins left="0.7" right="0.7" top="0.75" bottom="0.75" header="0.3" footer="0.3"/>
  <pageSetup fitToHeight="1" fitToWidth="1" horizontalDpi="600" verticalDpi="600" orientation="portrait" scale="67" r:id="rId3"/>
  <rowBreaks count="1" manualBreakCount="1">
    <brk id="40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workbookViewId="0" topLeftCell="A3">
      <selection activeCell="F42" sqref="F42"/>
    </sheetView>
  </sheetViews>
  <sheetFormatPr defaultColWidth="9.140625" defaultRowHeight="12.75"/>
  <cols>
    <col min="1" max="1" width="41.421875" style="16" bestFit="1" customWidth="1"/>
    <col min="2" max="2" width="20.00390625" style="16" customWidth="1"/>
    <col min="3" max="3" width="9.140625" style="16" customWidth="1"/>
    <col min="4" max="4" width="12.8515625" style="16" bestFit="1" customWidth="1"/>
    <col min="5" max="5" width="17.57421875" style="16" bestFit="1" customWidth="1"/>
    <col min="6" max="16384" width="9.140625" style="16" customWidth="1"/>
  </cols>
  <sheetData>
    <row r="1" ht="15.75">
      <c r="A1" s="14" t="s">
        <v>34</v>
      </c>
    </row>
    <row r="2" ht="15.75">
      <c r="A2" s="14" t="s">
        <v>60</v>
      </c>
    </row>
    <row r="3" ht="15.75">
      <c r="A3" s="14" t="s">
        <v>83</v>
      </c>
    </row>
    <row r="5" spans="1:2" ht="15.75">
      <c r="A5" s="1" t="s">
        <v>33</v>
      </c>
      <c r="B5" s="2" t="s">
        <v>27</v>
      </c>
    </row>
    <row r="6" ht="15.75">
      <c r="B6" s="3" t="s">
        <v>61</v>
      </c>
    </row>
    <row r="7" spans="1:2" ht="15.75">
      <c r="A7" s="4" t="s">
        <v>0</v>
      </c>
      <c r="B7" s="33">
        <v>231487</v>
      </c>
    </row>
    <row r="8" spans="1:2" ht="15.75">
      <c r="A8" s="4"/>
      <c r="B8" s="5"/>
    </row>
    <row r="9" spans="1:2" ht="15.75">
      <c r="A9" s="6" t="s">
        <v>1</v>
      </c>
      <c r="B9" s="3" t="str">
        <f>B6</f>
        <v>10/01 - 10/31</v>
      </c>
    </row>
    <row r="10" spans="1:2" ht="15.75">
      <c r="A10" s="4" t="s">
        <v>2</v>
      </c>
      <c r="B10" s="37">
        <v>2205073.52</v>
      </c>
    </row>
    <row r="11" spans="1:2" ht="15.75">
      <c r="A11" s="4" t="s">
        <v>3</v>
      </c>
      <c r="B11" s="35">
        <v>1035427.73</v>
      </c>
    </row>
    <row r="12" spans="1:2" ht="15.75">
      <c r="A12" s="4" t="s">
        <v>4</v>
      </c>
      <c r="B12" s="35">
        <v>334998.06</v>
      </c>
    </row>
    <row r="13" spans="1:2" ht="15.75">
      <c r="A13" s="4" t="s">
        <v>5</v>
      </c>
      <c r="B13" s="36">
        <v>4357.65</v>
      </c>
    </row>
    <row r="14" spans="1:2" ht="15.75">
      <c r="A14" s="6" t="s">
        <v>6</v>
      </c>
      <c r="B14" s="18">
        <f>SUM(B10:B13)</f>
        <v>3579856.96</v>
      </c>
    </row>
    <row r="15" spans="1:2" ht="15.75">
      <c r="A15" s="6" t="s">
        <v>7</v>
      </c>
      <c r="B15" s="8">
        <f>B14/B7</f>
        <v>15.464613390816762</v>
      </c>
    </row>
    <row r="16" spans="1:2" ht="15.75">
      <c r="A16" s="4"/>
      <c r="B16" s="9"/>
    </row>
    <row r="17" spans="1:2" ht="15.75">
      <c r="A17" s="6" t="s">
        <v>55</v>
      </c>
      <c r="B17" s="3" t="str">
        <f>B6</f>
        <v>10/01 - 10/31</v>
      </c>
    </row>
    <row r="18" spans="1:2" ht="15.75">
      <c r="A18" s="4" t="s">
        <v>55</v>
      </c>
      <c r="B18" s="98">
        <v>905987.07</v>
      </c>
    </row>
    <row r="19" spans="1:2" ht="15.75">
      <c r="A19" s="6" t="s">
        <v>56</v>
      </c>
      <c r="B19" s="18">
        <f>B18</f>
        <v>905987.07</v>
      </c>
    </row>
    <row r="20" spans="1:2" ht="15.75">
      <c r="A20" s="6" t="s">
        <v>57</v>
      </c>
      <c r="B20" s="8">
        <f>B19/B7</f>
        <v>3.9137708381032192</v>
      </c>
    </row>
    <row r="21" spans="1:2" ht="15.75">
      <c r="A21" s="4"/>
      <c r="B21" s="9"/>
    </row>
    <row r="22" spans="1:2" ht="15.75">
      <c r="A22" s="10" t="s">
        <v>8</v>
      </c>
      <c r="B22" s="3" t="str">
        <f>B6</f>
        <v>10/01 - 10/31</v>
      </c>
    </row>
    <row r="23" spans="1:2" ht="15.75">
      <c r="A23" s="4" t="s">
        <v>9</v>
      </c>
      <c r="B23" s="41">
        <f>36200.3+38131.25+36457.6</f>
        <v>110789.15</v>
      </c>
    </row>
    <row r="24" spans="1:5" ht="15.75">
      <c r="A24" s="4" t="s">
        <v>10</v>
      </c>
      <c r="B24" s="39">
        <f>2062617.07+2172638.55+2077277.49</f>
        <v>6312533.11</v>
      </c>
      <c r="E24" s="38"/>
    </row>
    <row r="25" spans="1:2" ht="15.75">
      <c r="A25" s="4" t="s">
        <v>11</v>
      </c>
      <c r="B25" s="13">
        <f aca="true" t="shared" si="0" ref="B25">B24/B7</f>
        <v>27.26949293048854</v>
      </c>
    </row>
    <row r="26" spans="1:5" ht="15.75">
      <c r="A26" s="4" t="s">
        <v>12</v>
      </c>
      <c r="B26" s="13">
        <f>6850341.36/2881660.47</f>
        <v>2.377220158764922</v>
      </c>
      <c r="E26" s="38"/>
    </row>
    <row r="27" spans="1:2" ht="15.75">
      <c r="A27" s="4" t="s">
        <v>29</v>
      </c>
      <c r="B27" s="41">
        <v>11737.7</v>
      </c>
    </row>
    <row r="28" spans="1:2" ht="15.75">
      <c r="A28" s="4" t="s">
        <v>13</v>
      </c>
      <c r="B28" s="39">
        <v>63020.56</v>
      </c>
    </row>
    <row r="29" spans="1:2" ht="15.75">
      <c r="A29" s="4" t="s">
        <v>14</v>
      </c>
      <c r="B29" s="12">
        <f>B28/B7</f>
        <v>0.272242328942878</v>
      </c>
    </row>
    <row r="30" spans="1:2" ht="15.75">
      <c r="A30" s="4" t="s">
        <v>30</v>
      </c>
      <c r="B30" s="41">
        <v>6881</v>
      </c>
    </row>
    <row r="31" spans="1:2" ht="15.75">
      <c r="A31" s="4" t="s">
        <v>31</v>
      </c>
      <c r="B31" s="39">
        <v>67144.32</v>
      </c>
    </row>
    <row r="32" spans="1:2" ht="15.75">
      <c r="A32" s="4" t="s">
        <v>32</v>
      </c>
      <c r="B32" s="12">
        <f>B31/B7</f>
        <v>0.2900565474519088</v>
      </c>
    </row>
    <row r="33" spans="1:2" ht="15.75">
      <c r="A33" s="4" t="s">
        <v>15</v>
      </c>
      <c r="B33" s="32">
        <v>130925</v>
      </c>
    </row>
    <row r="34" spans="1:2" ht="15.75">
      <c r="A34" s="4" t="s">
        <v>16</v>
      </c>
      <c r="B34" s="12">
        <f>B33/B7</f>
        <v>0.5655825165128063</v>
      </c>
    </row>
    <row r="35" spans="1:2" ht="15.75">
      <c r="A35" s="14" t="s">
        <v>17</v>
      </c>
      <c r="B35" s="32">
        <v>20439.61</v>
      </c>
    </row>
    <row r="36" spans="1:2" ht="15.75">
      <c r="A36" s="4" t="s">
        <v>18</v>
      </c>
      <c r="B36" s="65">
        <f>_xlfn.IFERROR(B35/B7,2)</f>
        <v>0.08829701019927685</v>
      </c>
    </row>
    <row r="37" spans="1:5" ht="15.75">
      <c r="A37" s="10" t="s">
        <v>19</v>
      </c>
      <c r="B37" s="32">
        <f>B24+B28+B31+B33+B35</f>
        <v>6594062.600000001</v>
      </c>
      <c r="D37" s="17"/>
      <c r="E37" s="7"/>
    </row>
    <row r="38" spans="1:2" ht="15.75">
      <c r="A38" s="10" t="s">
        <v>20</v>
      </c>
      <c r="B38" s="15">
        <f>B37/B7</f>
        <v>28.48567133359541</v>
      </c>
    </row>
    <row r="39" spans="1:2" ht="15.75">
      <c r="A39" s="4"/>
      <c r="B39" s="9"/>
    </row>
    <row r="40" spans="1:2" ht="15.75">
      <c r="A40" s="4"/>
      <c r="B40" s="9"/>
    </row>
    <row r="41" spans="1:2" ht="15.75">
      <c r="A41" s="4"/>
      <c r="B41" s="3" t="str">
        <f>B6</f>
        <v>10/01 - 10/31</v>
      </c>
    </row>
    <row r="42" spans="1:5" ht="15.75">
      <c r="A42" s="4" t="s">
        <v>21</v>
      </c>
      <c r="B42" s="34">
        <f>763571.95+7226690.62+37447.3</f>
        <v>8027709.87</v>
      </c>
      <c r="E42" s="38"/>
    </row>
    <row r="43" spans="1:2" ht="15.75">
      <c r="A43" s="4" t="s">
        <v>22</v>
      </c>
      <c r="B43" s="7">
        <v>1465247.32</v>
      </c>
    </row>
    <row r="44" spans="1:2" ht="15.75">
      <c r="A44" s="4" t="s">
        <v>47</v>
      </c>
      <c r="B44" s="34">
        <v>148008.89</v>
      </c>
    </row>
    <row r="45" spans="1:2" ht="15.75">
      <c r="A45" s="14" t="s">
        <v>62</v>
      </c>
      <c r="B45" s="7">
        <f>SUM(B42:B44)</f>
        <v>9640966.08</v>
      </c>
    </row>
    <row r="46" spans="1:2" ht="15.75">
      <c r="A46" s="14" t="s">
        <v>25</v>
      </c>
      <c r="B46" s="44">
        <v>0.0785</v>
      </c>
    </row>
    <row r="47" spans="1:2" ht="15.75">
      <c r="A47" s="21" t="s">
        <v>26</v>
      </c>
      <c r="B47" s="22">
        <f>ROUND(B45*B46/365*31,2)</f>
        <v>64277.51</v>
      </c>
    </row>
    <row r="48" spans="1:2" ht="15.75">
      <c r="A48" s="14"/>
      <c r="B48" s="9"/>
    </row>
    <row r="50" spans="1:2" ht="15.75">
      <c r="A50" s="1" t="s">
        <v>40</v>
      </c>
      <c r="B50" s="3" t="str">
        <f>B6</f>
        <v>10/01 - 10/31</v>
      </c>
    </row>
    <row r="51" spans="1:2" ht="15.75">
      <c r="A51" s="1" t="s">
        <v>53</v>
      </c>
      <c r="B51" s="42">
        <v>52322.66</v>
      </c>
    </row>
    <row r="52" spans="1:2" ht="15.75">
      <c r="A52" s="14" t="s">
        <v>37</v>
      </c>
      <c r="B52" s="3" t="s">
        <v>38</v>
      </c>
    </row>
    <row r="53" spans="1:2" ht="15.75">
      <c r="A53" s="26" t="s">
        <v>39</v>
      </c>
      <c r="B53" s="42">
        <v>0</v>
      </c>
    </row>
    <row r="54" spans="1:2" ht="15.75">
      <c r="A54" s="26" t="s">
        <v>36</v>
      </c>
      <c r="B54" s="42">
        <v>2075</v>
      </c>
    </row>
    <row r="55" spans="1:2" ht="15.75">
      <c r="A55" s="14" t="s">
        <v>41</v>
      </c>
      <c r="B55" s="3" t="s">
        <v>38</v>
      </c>
    </row>
    <row r="56" spans="1:3" ht="15.75">
      <c r="A56" s="26" t="s">
        <v>42</v>
      </c>
      <c r="B56" s="27">
        <v>0</v>
      </c>
      <c r="C56" s="31" t="s">
        <v>50</v>
      </c>
    </row>
    <row r="57" spans="1:3" ht="15.75">
      <c r="A57" s="14" t="s">
        <v>43</v>
      </c>
      <c r="B57" s="24">
        <v>0</v>
      </c>
      <c r="C57" s="16" t="s">
        <v>49</v>
      </c>
    </row>
    <row r="58" spans="1:2" ht="15.75">
      <c r="A58" s="14" t="s">
        <v>44</v>
      </c>
      <c r="B58" s="28" t="s">
        <v>38</v>
      </c>
    </row>
    <row r="59" spans="1:2" ht="15.75">
      <c r="A59" s="21" t="s">
        <v>46</v>
      </c>
      <c r="B59" s="45">
        <f>SUM(B51:B58)</f>
        <v>54397.66</v>
      </c>
    </row>
    <row r="60" spans="1:2" ht="15.75">
      <c r="A60" s="14"/>
      <c r="B60" s="24"/>
    </row>
    <row r="61" spans="1:2" ht="15.75">
      <c r="A61" s="14"/>
      <c r="B61" s="24"/>
    </row>
    <row r="62" spans="1:2" ht="15.75">
      <c r="A62" s="14"/>
      <c r="B62" s="24"/>
    </row>
    <row r="63" spans="1:2" ht="15.75">
      <c r="A63" s="21" t="s">
        <v>45</v>
      </c>
      <c r="B63" s="43">
        <v>3909.97</v>
      </c>
    </row>
    <row r="64" spans="1:2" ht="15.75">
      <c r="A64" s="14"/>
      <c r="B64" s="14"/>
    </row>
    <row r="67" spans="1:2" ht="16.5" thickBot="1">
      <c r="A67" s="30" t="s">
        <v>48</v>
      </c>
      <c r="B67" s="67">
        <f>+B14+B19+B37+B47+B59+B63</f>
        <v>11202491.770000001</v>
      </c>
    </row>
    <row r="68" ht="15.75" thickTop="1"/>
  </sheetData>
  <printOptions/>
  <pageMargins left="0.7" right="0.7" top="0.75" bottom="0.75" header="0.3" footer="0.3"/>
  <pageSetup fitToHeight="1" fitToWidth="1" horizontalDpi="600" verticalDpi="600" orientation="portrait" scale="6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5"/>
  <sheetViews>
    <sheetView workbookViewId="0" topLeftCell="A1">
      <selection activeCell="D14" sqref="D14"/>
    </sheetView>
  </sheetViews>
  <sheetFormatPr defaultColWidth="9.140625" defaultRowHeight="12.75"/>
  <cols>
    <col min="1" max="1" width="41.421875" style="16" bestFit="1" customWidth="1"/>
    <col min="2" max="2" width="23.8515625" style="16" customWidth="1"/>
    <col min="3" max="3" width="5.57421875" style="16" customWidth="1"/>
    <col min="4" max="4" width="24.57421875" style="16" customWidth="1"/>
    <col min="5" max="5" width="5.7109375" style="16" customWidth="1"/>
    <col min="6" max="6" width="20.7109375" style="16" customWidth="1"/>
    <col min="7" max="7" width="18.7109375" style="16" customWidth="1"/>
    <col min="8" max="8" width="9.140625" style="16" customWidth="1"/>
    <col min="9" max="9" width="17.28125" style="16" customWidth="1"/>
    <col min="10" max="16384" width="9.140625" style="16" customWidth="1"/>
  </cols>
  <sheetData>
    <row r="1" ht="15.75" customHeight="1">
      <c r="A1" s="14" t="s">
        <v>34</v>
      </c>
    </row>
    <row r="2" ht="15.75" customHeight="1">
      <c r="A2" s="14" t="s">
        <v>51</v>
      </c>
    </row>
    <row r="3" ht="15.75" customHeight="1">
      <c r="A3" s="14" t="s">
        <v>83</v>
      </c>
    </row>
    <row r="4" spans="4:6" ht="15.75" customHeight="1">
      <c r="D4" s="14" t="s">
        <v>54</v>
      </c>
      <c r="E4" s="14"/>
      <c r="F4" s="14" t="s">
        <v>58</v>
      </c>
    </row>
    <row r="5" spans="1:6" ht="15.75" customHeight="1">
      <c r="A5" s="1" t="s">
        <v>33</v>
      </c>
      <c r="B5" s="2" t="s">
        <v>27</v>
      </c>
      <c r="D5" s="14" t="s">
        <v>27</v>
      </c>
      <c r="E5" s="14"/>
      <c r="F5" s="14" t="s">
        <v>59</v>
      </c>
    </row>
    <row r="6" spans="2:5" ht="15.75">
      <c r="B6" s="3" t="s">
        <v>52</v>
      </c>
      <c r="D6" s="3" t="s">
        <v>52</v>
      </c>
      <c r="E6" s="3"/>
    </row>
    <row r="7" spans="1:5" ht="15.75">
      <c r="A7" s="4" t="s">
        <v>0</v>
      </c>
      <c r="B7" s="33">
        <v>255093</v>
      </c>
      <c r="D7" s="46">
        <v>255093</v>
      </c>
      <c r="E7" s="46"/>
    </row>
    <row r="8" spans="1:5" ht="15.75">
      <c r="A8" s="4"/>
      <c r="B8" s="5"/>
      <c r="D8" s="5"/>
      <c r="E8" s="5"/>
    </row>
    <row r="9" spans="1:5" ht="15.75">
      <c r="A9" s="6" t="s">
        <v>1</v>
      </c>
      <c r="B9" s="3" t="s">
        <v>52</v>
      </c>
      <c r="D9" s="3" t="s">
        <v>52</v>
      </c>
      <c r="E9" s="3"/>
    </row>
    <row r="10" spans="1:7" ht="15.75">
      <c r="A10" s="4" t="s">
        <v>2</v>
      </c>
      <c r="B10" s="37">
        <v>612590.31</v>
      </c>
      <c r="D10" s="51">
        <f>612590.31-37625.15+17600.44</f>
        <v>592565.6</v>
      </c>
      <c r="E10" s="51"/>
      <c r="F10" s="13">
        <f>D10-B10</f>
        <v>-20024.71000000008</v>
      </c>
      <c r="G10" s="58">
        <v>1</v>
      </c>
    </row>
    <row r="11" spans="1:5" ht="15.75">
      <c r="A11" s="4" t="s">
        <v>3</v>
      </c>
      <c r="B11" s="35">
        <v>924476.07</v>
      </c>
      <c r="D11" s="47">
        <v>924476.07</v>
      </c>
      <c r="E11" s="47"/>
    </row>
    <row r="12" spans="1:7" ht="15.75">
      <c r="A12" s="4" t="s">
        <v>4</v>
      </c>
      <c r="B12" s="35">
        <v>309597.17</v>
      </c>
      <c r="D12" s="47">
        <f>309597.17+F12</f>
        <v>313079.61</v>
      </c>
      <c r="E12" s="47"/>
      <c r="F12" s="12">
        <v>3482.44</v>
      </c>
      <c r="G12" s="58">
        <v>2</v>
      </c>
    </row>
    <row r="13" spans="1:7" ht="15.75">
      <c r="A13" s="4" t="s">
        <v>5</v>
      </c>
      <c r="B13" s="36">
        <v>87921.65</v>
      </c>
      <c r="D13" s="48">
        <f>B13+F13</f>
        <v>4357.649999999994</v>
      </c>
      <c r="E13" s="74"/>
      <c r="F13" s="65">
        <v>-83564</v>
      </c>
      <c r="G13" s="58">
        <v>3</v>
      </c>
    </row>
    <row r="14" spans="1:6" ht="15.75">
      <c r="A14" s="6" t="s">
        <v>6</v>
      </c>
      <c r="B14" s="18">
        <f>SUM(B10:B13)</f>
        <v>1934585.1999999997</v>
      </c>
      <c r="D14" s="18">
        <f>SUM(D10:D13)</f>
        <v>1834478.9299999997</v>
      </c>
      <c r="E14" s="78"/>
      <c r="F14" s="24">
        <f>SUM(F10:F13)</f>
        <v>-100106.27000000008</v>
      </c>
    </row>
    <row r="15" spans="1:5" ht="15.75">
      <c r="A15" s="6" t="s">
        <v>7</v>
      </c>
      <c r="B15" s="8">
        <f>B14/B7</f>
        <v>7.583842755387249</v>
      </c>
      <c r="D15" s="8">
        <f>D14/D7</f>
        <v>7.191412269250821</v>
      </c>
      <c r="E15" s="79"/>
    </row>
    <row r="16" spans="1:5" ht="15.75">
      <c r="A16" s="4"/>
      <c r="B16" s="9"/>
      <c r="D16" s="9"/>
      <c r="E16" s="80"/>
    </row>
    <row r="17" spans="1:6" ht="15.75">
      <c r="A17" s="6" t="s">
        <v>55</v>
      </c>
      <c r="B17" s="3" t="str">
        <f>B6</f>
        <v>09/01 - 09/30</v>
      </c>
      <c r="D17" s="3" t="s">
        <v>52</v>
      </c>
      <c r="E17" s="81"/>
      <c r="F17" s="9"/>
    </row>
    <row r="18" spans="1:6" ht="15.75">
      <c r="A18" s="4" t="s">
        <v>55</v>
      </c>
      <c r="B18" s="71">
        <v>0</v>
      </c>
      <c r="D18" s="64">
        <v>57677.26</v>
      </c>
      <c r="E18" s="82"/>
      <c r="F18" s="71"/>
    </row>
    <row r="19" spans="1:9" ht="15.75">
      <c r="A19" s="6" t="s">
        <v>56</v>
      </c>
      <c r="B19" s="18">
        <f>SUM(B18)</f>
        <v>0</v>
      </c>
      <c r="D19" s="8">
        <f>SUM(D18)</f>
        <v>57677.26</v>
      </c>
      <c r="E19" s="79"/>
      <c r="F19" s="68">
        <f>D19-B19</f>
        <v>57677.26</v>
      </c>
      <c r="G19" s="61">
        <v>4</v>
      </c>
      <c r="H19" s="60"/>
      <c r="I19" s="60"/>
    </row>
    <row r="20" spans="1:6" ht="15.75">
      <c r="A20" s="6" t="s">
        <v>57</v>
      </c>
      <c r="B20" s="8">
        <f>B19/B7</f>
        <v>0</v>
      </c>
      <c r="D20" s="8">
        <f>D19/D7</f>
        <v>0.22610287228579382</v>
      </c>
      <c r="E20" s="79"/>
      <c r="F20" s="13"/>
    </row>
    <row r="21" spans="1:5" ht="15.75">
      <c r="A21" s="4"/>
      <c r="B21" s="9"/>
      <c r="D21" s="9"/>
      <c r="E21" s="9"/>
    </row>
    <row r="22" spans="1:5" ht="15.75">
      <c r="A22" s="10" t="s">
        <v>8</v>
      </c>
      <c r="B22" s="3" t="s">
        <v>52</v>
      </c>
      <c r="D22" s="3" t="s">
        <v>52</v>
      </c>
      <c r="E22" s="3"/>
    </row>
    <row r="23" spans="1:5" ht="15.75">
      <c r="A23" s="4" t="s">
        <v>9</v>
      </c>
      <c r="B23" s="41">
        <v>123079.85</v>
      </c>
      <c r="D23" s="49">
        <v>123079.85</v>
      </c>
      <c r="E23" s="49"/>
    </row>
    <row r="24" spans="1:6" ht="15.75">
      <c r="A24" s="4" t="s">
        <v>10</v>
      </c>
      <c r="B24" s="39">
        <v>6850341.36</v>
      </c>
      <c r="D24" s="50">
        <v>6850341.36</v>
      </c>
      <c r="E24" s="50"/>
      <c r="F24" s="38"/>
    </row>
    <row r="25" spans="1:9" ht="15.75">
      <c r="A25" s="4" t="s">
        <v>11</v>
      </c>
      <c r="B25" s="13">
        <f>B24/B7</f>
        <v>26.854289847232188</v>
      </c>
      <c r="D25" s="13">
        <f>D24/D7</f>
        <v>26.854289847232188</v>
      </c>
      <c r="E25" s="13"/>
      <c r="I25" s="60"/>
    </row>
    <row r="26" spans="1:9" ht="15.75">
      <c r="A26" s="4" t="s">
        <v>12</v>
      </c>
      <c r="B26" s="13">
        <f>6850341.36/2881660.47</f>
        <v>2.377220158764922</v>
      </c>
      <c r="D26" s="13">
        <f>6850341.36/2881660.47</f>
        <v>2.377220158764922</v>
      </c>
      <c r="E26" s="63"/>
      <c r="F26" s="38"/>
      <c r="I26" s="60"/>
    </row>
    <row r="27" spans="1:9" ht="15.75">
      <c r="A27" s="4" t="s">
        <v>29</v>
      </c>
      <c r="B27" s="40">
        <v>43572.05</v>
      </c>
      <c r="D27" s="49">
        <v>5946.9</v>
      </c>
      <c r="E27" s="49"/>
      <c r="F27" s="13"/>
      <c r="G27" s="49"/>
      <c r="I27" s="49"/>
    </row>
    <row r="28" spans="1:9" ht="15.75">
      <c r="A28" s="4" t="s">
        <v>13</v>
      </c>
      <c r="B28" s="39">
        <v>5946.9</v>
      </c>
      <c r="D28" s="39">
        <f>43572.05-10597.77</f>
        <v>32974.28</v>
      </c>
      <c r="E28" s="50"/>
      <c r="F28" s="13">
        <f>D28-B28</f>
        <v>27027.379999999997</v>
      </c>
      <c r="G28" s="61">
        <v>5</v>
      </c>
      <c r="I28" s="63"/>
    </row>
    <row r="29" spans="1:10" ht="15.75">
      <c r="A29" s="4" t="s">
        <v>14</v>
      </c>
      <c r="B29" s="12">
        <f>B28/B7</f>
        <v>0.023312674201173687</v>
      </c>
      <c r="D29" s="12">
        <f>D28/D7</f>
        <v>0.1292637587076086</v>
      </c>
      <c r="E29" s="50"/>
      <c r="J29" s="60"/>
    </row>
    <row r="30" spans="1:5" ht="15.75">
      <c r="A30" s="4" t="s">
        <v>30</v>
      </c>
      <c r="B30" s="39">
        <v>10661</v>
      </c>
      <c r="D30" s="49">
        <v>10661</v>
      </c>
      <c r="E30" s="49"/>
    </row>
    <row r="31" spans="1:5" ht="15.75">
      <c r="A31" s="4" t="s">
        <v>31</v>
      </c>
      <c r="B31" s="39">
        <v>137057.17</v>
      </c>
      <c r="D31" s="50">
        <v>137057.17</v>
      </c>
      <c r="E31" s="50"/>
    </row>
    <row r="32" spans="1:5" ht="15.75">
      <c r="A32" s="4" t="s">
        <v>32</v>
      </c>
      <c r="B32" s="12">
        <f>B31/B7</f>
        <v>0.537283147714755</v>
      </c>
      <c r="D32" s="12">
        <f>D31/D7</f>
        <v>0.537283147714755</v>
      </c>
      <c r="E32" s="50"/>
    </row>
    <row r="33" spans="1:5" ht="15.75">
      <c r="A33" s="4" t="s">
        <v>15</v>
      </c>
      <c r="B33" s="32">
        <v>135719</v>
      </c>
      <c r="D33" s="51">
        <v>135719</v>
      </c>
      <c r="E33" s="51"/>
    </row>
    <row r="34" spans="1:5" ht="15.75">
      <c r="A34" s="4" t="s">
        <v>16</v>
      </c>
      <c r="B34" s="12">
        <f>B33/B7</f>
        <v>0.5320373354031667</v>
      </c>
      <c r="D34" s="51">
        <f>D33/D7</f>
        <v>0.5320373354031667</v>
      </c>
      <c r="E34" s="51"/>
    </row>
    <row r="35" spans="1:7" ht="15.75">
      <c r="A35" s="14" t="s">
        <v>17</v>
      </c>
      <c r="B35" s="32">
        <v>0</v>
      </c>
      <c r="D35" s="32">
        <v>34125.22</v>
      </c>
      <c r="E35" s="51"/>
      <c r="F35" s="13">
        <f>D35-B35</f>
        <v>34125.22</v>
      </c>
      <c r="G35" s="61">
        <v>6</v>
      </c>
    </row>
    <row r="36" spans="1:6" ht="15.75">
      <c r="A36" s="4" t="s">
        <v>18</v>
      </c>
      <c r="B36" s="65">
        <f>_xlfn.IFERROR(B35/B7,2)</f>
        <v>0</v>
      </c>
      <c r="D36" s="66">
        <f>_xlfn.IFERROR(D35/D7,2)</f>
        <v>0.13377560340738476</v>
      </c>
      <c r="E36" s="73"/>
      <c r="F36" s="69"/>
    </row>
    <row r="37" spans="1:6" ht="15.75">
      <c r="A37" s="10" t="s">
        <v>19</v>
      </c>
      <c r="B37" s="37">
        <f>B24+B28+B31+B33+B35</f>
        <v>7129064.430000001</v>
      </c>
      <c r="D37" s="37">
        <f>D24+D28+D31+D33+D35</f>
        <v>7190217.03</v>
      </c>
      <c r="E37" s="83"/>
      <c r="F37" s="24">
        <f>SUM(F23:F36)</f>
        <v>61152.6</v>
      </c>
    </row>
    <row r="38" spans="1:5" ht="15.75">
      <c r="A38" s="10" t="s">
        <v>20</v>
      </c>
      <c r="B38" s="15">
        <f>B37/B7</f>
        <v>27.946923004551284</v>
      </c>
      <c r="D38" s="15">
        <f>D37/D7</f>
        <v>28.186649692465103</v>
      </c>
      <c r="E38" s="84"/>
    </row>
    <row r="39" spans="1:5" ht="15.75">
      <c r="A39" s="4"/>
      <c r="B39" s="9"/>
      <c r="D39" s="9"/>
      <c r="E39" s="9"/>
    </row>
    <row r="40" spans="1:5" ht="15.75">
      <c r="A40" s="4"/>
      <c r="B40" s="9"/>
      <c r="D40" s="9"/>
      <c r="E40" s="9"/>
    </row>
    <row r="41" spans="1:5" ht="15.75">
      <c r="A41" s="4"/>
      <c r="B41" s="3" t="s">
        <v>52</v>
      </c>
      <c r="D41" s="3" t="s">
        <v>52</v>
      </c>
      <c r="E41" s="3"/>
    </row>
    <row r="42" spans="1:6" ht="15.75">
      <c r="A42" s="4" t="s">
        <v>21</v>
      </c>
      <c r="B42" s="34">
        <v>8310064.44</v>
      </c>
      <c r="D42" s="52">
        <v>8310064.44</v>
      </c>
      <c r="E42" s="52"/>
      <c r="F42" s="38"/>
    </row>
    <row r="43" spans="1:7" ht="15.75">
      <c r="A43" s="4" t="s">
        <v>22</v>
      </c>
      <c r="B43" s="7">
        <v>6989072.53</v>
      </c>
      <c r="D43" s="7">
        <v>1826798.53</v>
      </c>
      <c r="E43" s="7"/>
      <c r="F43" s="7">
        <f>D43-B43</f>
        <v>-5162274</v>
      </c>
      <c r="G43" s="61">
        <v>7</v>
      </c>
    </row>
    <row r="44" spans="1:7" ht="15.75">
      <c r="A44" s="4" t="s">
        <v>47</v>
      </c>
      <c r="B44" s="34">
        <v>162427.21</v>
      </c>
      <c r="D44" s="52">
        <v>162427.21</v>
      </c>
      <c r="E44" s="85"/>
      <c r="G44" s="60"/>
    </row>
    <row r="45" spans="1:7" ht="15.75">
      <c r="A45" s="14" t="s">
        <v>23</v>
      </c>
      <c r="B45" s="36">
        <v>57677</v>
      </c>
      <c r="D45" s="36">
        <v>0</v>
      </c>
      <c r="E45" s="74"/>
      <c r="F45" s="70">
        <v>-57677</v>
      </c>
      <c r="G45" s="61">
        <v>8</v>
      </c>
    </row>
    <row r="46" spans="1:6" ht="15.75">
      <c r="A46" s="14" t="s">
        <v>24</v>
      </c>
      <c r="B46" s="7">
        <f>SUM(B42:B45)</f>
        <v>15519241.180000002</v>
      </c>
      <c r="D46" s="52">
        <f>SUM(D42:D45)</f>
        <v>10299290.180000002</v>
      </c>
      <c r="E46" s="85"/>
      <c r="F46" s="56">
        <f>SUM(F42:F45)</f>
        <v>-5219951</v>
      </c>
    </row>
    <row r="47" spans="1:6" ht="15.75">
      <c r="A47" s="14" t="s">
        <v>25</v>
      </c>
      <c r="B47" s="44">
        <v>0.0785</v>
      </c>
      <c r="D47" s="53">
        <v>0.0785</v>
      </c>
      <c r="E47" s="86"/>
      <c r="F47" s="53">
        <v>0.0785</v>
      </c>
    </row>
    <row r="48" spans="1:6" ht="15.75">
      <c r="A48" s="21" t="s">
        <v>26</v>
      </c>
      <c r="B48" s="22">
        <f>ROUND(B46*B47/365*30,2)</f>
        <v>100130.99</v>
      </c>
      <c r="D48" s="22">
        <f>ROUND(D46*D47/365*30,2)</f>
        <v>66451.58</v>
      </c>
      <c r="E48" s="87"/>
      <c r="F48" s="22">
        <f>ROUND(F46*F47/365*30,2)</f>
        <v>-33679.41</v>
      </c>
    </row>
    <row r="49" spans="1:5" ht="15.75">
      <c r="A49" s="14"/>
      <c r="B49" s="9"/>
      <c r="D49" s="9"/>
      <c r="E49" s="80"/>
    </row>
    <row r="51" spans="1:5" ht="15.75">
      <c r="A51" s="1" t="s">
        <v>40</v>
      </c>
      <c r="B51" s="3" t="s">
        <v>52</v>
      </c>
      <c r="D51" s="3" t="s">
        <v>52</v>
      </c>
      <c r="E51" s="3"/>
    </row>
    <row r="52" spans="1:5" ht="15.75">
      <c r="A52" s="1" t="s">
        <v>53</v>
      </c>
      <c r="B52" s="88">
        <v>51729.41</v>
      </c>
      <c r="D52" s="89">
        <v>51729.41</v>
      </c>
      <c r="E52" s="54"/>
    </row>
    <row r="53" spans="1:5" ht="15.75">
      <c r="A53" s="14" t="s">
        <v>37</v>
      </c>
      <c r="B53" s="3" t="s">
        <v>38</v>
      </c>
      <c r="D53" s="24" t="s">
        <v>38</v>
      </c>
      <c r="E53" s="3"/>
    </row>
    <row r="54" spans="1:5" ht="15.75">
      <c r="A54" s="26" t="s">
        <v>39</v>
      </c>
      <c r="B54" s="88">
        <v>0</v>
      </c>
      <c r="D54" s="89">
        <v>0</v>
      </c>
      <c r="E54" s="54"/>
    </row>
    <row r="55" spans="1:5" ht="15.75">
      <c r="A55" s="26" t="s">
        <v>36</v>
      </c>
      <c r="B55" s="88">
        <v>2075</v>
      </c>
      <c r="D55" s="89">
        <v>2075</v>
      </c>
      <c r="E55" s="54"/>
    </row>
    <row r="56" spans="1:5" ht="15.75">
      <c r="A56" s="14" t="s">
        <v>41</v>
      </c>
      <c r="B56" s="3" t="s">
        <v>38</v>
      </c>
      <c r="D56" s="24" t="s">
        <v>38</v>
      </c>
      <c r="E56" s="3"/>
    </row>
    <row r="57" spans="1:7" ht="15.75">
      <c r="A57" s="26" t="s">
        <v>42</v>
      </c>
      <c r="B57" s="27">
        <v>0</v>
      </c>
      <c r="C57" s="31"/>
      <c r="D57" s="27">
        <v>0</v>
      </c>
      <c r="E57" s="27"/>
      <c r="G57" s="31" t="s">
        <v>50</v>
      </c>
    </row>
    <row r="58" spans="1:7" ht="15.75">
      <c r="A58" s="14" t="s">
        <v>43</v>
      </c>
      <c r="B58" s="24">
        <v>0</v>
      </c>
      <c r="D58" s="24">
        <v>0</v>
      </c>
      <c r="E58" s="24"/>
      <c r="G58" s="16" t="s">
        <v>49</v>
      </c>
    </row>
    <row r="59" spans="1:6" ht="15.75">
      <c r="A59" s="14" t="s">
        <v>44</v>
      </c>
      <c r="B59" s="28" t="s">
        <v>38</v>
      </c>
      <c r="D59" s="28" t="s">
        <v>38</v>
      </c>
      <c r="E59" s="72"/>
      <c r="F59" s="69"/>
    </row>
    <row r="60" spans="1:6" ht="15.75">
      <c r="A60" s="21" t="s">
        <v>46</v>
      </c>
      <c r="B60" s="25">
        <f>SUM(B52:B59)</f>
        <v>53804.41</v>
      </c>
      <c r="D60" s="27">
        <f>SUM(D52:D59)</f>
        <v>53804.41</v>
      </c>
      <c r="E60" s="55"/>
      <c r="F60" s="27">
        <f>D60-B60</f>
        <v>0</v>
      </c>
    </row>
    <row r="61" spans="1:5" ht="15.75">
      <c r="A61" s="14"/>
      <c r="B61" s="24"/>
      <c r="D61" s="24"/>
      <c r="E61" s="24"/>
    </row>
    <row r="62" spans="1:5" ht="15.75">
      <c r="A62" s="14"/>
      <c r="B62" s="24"/>
      <c r="D62" s="24"/>
      <c r="E62" s="24"/>
    </row>
    <row r="63" spans="1:5" ht="15.75">
      <c r="A63" s="14"/>
      <c r="B63" s="24"/>
      <c r="D63" s="24"/>
      <c r="E63" s="24"/>
    </row>
    <row r="64" spans="1:6" ht="15.75">
      <c r="A64" s="21" t="s">
        <v>45</v>
      </c>
      <c r="B64" s="43">
        <v>3909.97</v>
      </c>
      <c r="D64" s="27">
        <v>3909.97</v>
      </c>
      <c r="E64" s="27"/>
      <c r="F64" s="27">
        <f>D64-B64</f>
        <v>0</v>
      </c>
    </row>
    <row r="65" spans="1:5" ht="15.75">
      <c r="A65" s="14"/>
      <c r="B65" s="14"/>
      <c r="D65" s="14"/>
      <c r="E65" s="14"/>
    </row>
    <row r="68" spans="1:12" ht="16.5" thickBot="1">
      <c r="A68" s="30" t="s">
        <v>48</v>
      </c>
      <c r="B68" s="67">
        <f>+B14+B37+B48+B60+B64</f>
        <v>9221495.000000002</v>
      </c>
      <c r="D68" s="67">
        <f>+D14+D19+D37+D48+D60+D64</f>
        <v>9206539.180000002</v>
      </c>
      <c r="E68" s="67"/>
      <c r="F68" s="67">
        <f>D68-B68</f>
        <v>-14955.820000000298</v>
      </c>
      <c r="G68" s="60" t="s">
        <v>81</v>
      </c>
      <c r="H68" s="60"/>
      <c r="I68" s="60"/>
      <c r="J68" s="60"/>
      <c r="K68" s="60"/>
      <c r="L68" s="60"/>
    </row>
    <row r="69" ht="15.75" thickTop="1"/>
    <row r="71" ht="12.75">
      <c r="A71" s="59" t="s">
        <v>69</v>
      </c>
    </row>
    <row r="72" ht="12.75">
      <c r="A72" s="59" t="s">
        <v>70</v>
      </c>
    </row>
    <row r="73" ht="12.75">
      <c r="A73" s="59" t="s">
        <v>71</v>
      </c>
    </row>
    <row r="74" ht="12.75">
      <c r="A74" s="59" t="s">
        <v>64</v>
      </c>
    </row>
    <row r="75" ht="12.75">
      <c r="A75" s="59" t="s">
        <v>65</v>
      </c>
    </row>
    <row r="76" ht="12.75">
      <c r="A76" s="59" t="s">
        <v>73</v>
      </c>
    </row>
    <row r="77" ht="12.75">
      <c r="A77" s="59" t="s">
        <v>74</v>
      </c>
    </row>
    <row r="78" ht="12.75">
      <c r="A78" s="59" t="s">
        <v>75</v>
      </c>
    </row>
    <row r="79" ht="12.75">
      <c r="A79" s="59" t="s">
        <v>76</v>
      </c>
    </row>
    <row r="80" ht="12.75">
      <c r="A80" s="59" t="s">
        <v>77</v>
      </c>
    </row>
    <row r="81" ht="12.75">
      <c r="A81" s="59" t="s">
        <v>78</v>
      </c>
    </row>
    <row r="82" ht="12.75">
      <c r="A82" s="59" t="s">
        <v>79</v>
      </c>
    </row>
    <row r="83" ht="12.75">
      <c r="A83" s="59" t="s">
        <v>80</v>
      </c>
    </row>
    <row r="84" ht="12.75">
      <c r="A84" s="59" t="s">
        <v>67</v>
      </c>
    </row>
    <row r="85" ht="12.75">
      <c r="A85" s="59" t="s">
        <v>72</v>
      </c>
    </row>
  </sheetData>
  <printOptions/>
  <pageMargins left="0.7" right="0.7" top="0.75" bottom="0.75" header="0.3" footer="0.3"/>
  <pageSetup horizontalDpi="600" verticalDpi="600" orientation="portrait" scale="4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3"/>
  <sheetViews>
    <sheetView workbookViewId="0" topLeftCell="A31">
      <selection activeCell="A44" sqref="A44"/>
    </sheetView>
  </sheetViews>
  <sheetFormatPr defaultColWidth="9.140625" defaultRowHeight="12.75"/>
  <cols>
    <col min="1" max="1" width="41.421875" style="16" bestFit="1" customWidth="1"/>
    <col min="2" max="2" width="20.00390625" style="16" customWidth="1"/>
    <col min="3" max="3" width="9.140625" style="16" customWidth="1"/>
    <col min="4" max="4" width="12.8515625" style="16" bestFit="1" customWidth="1"/>
    <col min="5" max="5" width="13.57421875" style="16" bestFit="1" customWidth="1"/>
    <col min="6" max="16384" width="9.140625" style="16" customWidth="1"/>
  </cols>
  <sheetData>
    <row r="1" ht="15.75" customHeight="1">
      <c r="A1" s="14" t="s">
        <v>34</v>
      </c>
    </row>
    <row r="2" ht="15.75" customHeight="1">
      <c r="A2" s="14" t="s">
        <v>51</v>
      </c>
    </row>
    <row r="3" ht="15.75" customHeight="1"/>
    <row r="4" ht="15.75" customHeight="1"/>
    <row r="5" spans="1:2" ht="15.75" customHeight="1">
      <c r="A5" s="1" t="s">
        <v>33</v>
      </c>
      <c r="B5" s="2" t="s">
        <v>27</v>
      </c>
    </row>
    <row r="6" ht="15.75">
      <c r="B6" s="3" t="s">
        <v>52</v>
      </c>
    </row>
    <row r="7" spans="1:2" ht="15.75">
      <c r="A7" s="4" t="s">
        <v>0</v>
      </c>
      <c r="B7" s="33">
        <v>255093</v>
      </c>
    </row>
    <row r="8" spans="1:2" ht="15.75">
      <c r="A8" s="4"/>
      <c r="B8" s="5"/>
    </row>
    <row r="9" spans="1:2" ht="15.75">
      <c r="A9" s="6" t="s">
        <v>1</v>
      </c>
      <c r="B9" s="3" t="s">
        <v>52</v>
      </c>
    </row>
    <row r="10" spans="1:2" ht="15.75">
      <c r="A10" s="4" t="s">
        <v>2</v>
      </c>
      <c r="B10" s="37">
        <v>612590.31</v>
      </c>
    </row>
    <row r="11" spans="1:2" ht="15.75">
      <c r="A11" s="4" t="s">
        <v>3</v>
      </c>
      <c r="B11" s="35">
        <v>924476.07</v>
      </c>
    </row>
    <row r="12" spans="1:2" ht="15.75">
      <c r="A12" s="4" t="s">
        <v>4</v>
      </c>
      <c r="B12" s="35">
        <v>309597.17</v>
      </c>
    </row>
    <row r="13" spans="1:2" ht="15.75">
      <c r="A13" s="4" t="s">
        <v>5</v>
      </c>
      <c r="B13" s="36">
        <v>87921.65</v>
      </c>
    </row>
    <row r="14" spans="1:2" ht="15.75">
      <c r="A14" s="6" t="s">
        <v>6</v>
      </c>
      <c r="B14" s="18">
        <f>SUM(B10:B13)</f>
        <v>1934585.1999999997</v>
      </c>
    </row>
    <row r="15" spans="1:2" ht="15.75">
      <c r="A15" s="6" t="s">
        <v>7</v>
      </c>
      <c r="B15" s="8">
        <f>B14/B7</f>
        <v>7.583842755387249</v>
      </c>
    </row>
    <row r="16" spans="1:2" ht="15.75">
      <c r="A16" s="4"/>
      <c r="B16" s="9"/>
    </row>
    <row r="17" spans="1:2" ht="15.75">
      <c r="A17" s="10" t="s">
        <v>8</v>
      </c>
      <c r="B17" s="3" t="s">
        <v>52</v>
      </c>
    </row>
    <row r="18" spans="1:2" ht="15.75">
      <c r="A18" s="4" t="s">
        <v>9</v>
      </c>
      <c r="B18" s="41">
        <v>123079.85</v>
      </c>
    </row>
    <row r="19" spans="1:5" ht="15.75">
      <c r="A19" s="4" t="s">
        <v>10</v>
      </c>
      <c r="B19" s="39">
        <v>6850341.36</v>
      </c>
      <c r="E19" s="38"/>
    </row>
    <row r="20" spans="1:2" ht="15.75">
      <c r="A20" s="4" t="s">
        <v>11</v>
      </c>
      <c r="B20" s="13">
        <f aca="true" t="shared" si="0" ref="B20">B19/B7</f>
        <v>26.854289847232188</v>
      </c>
    </row>
    <row r="21" spans="1:5" ht="15.75">
      <c r="A21" s="4" t="s">
        <v>12</v>
      </c>
      <c r="B21" s="13">
        <f>6850341.36/2881660.47</f>
        <v>2.377220158764922</v>
      </c>
      <c r="E21" s="38"/>
    </row>
    <row r="22" spans="1:2" ht="15.75">
      <c r="A22" s="4" t="s">
        <v>29</v>
      </c>
      <c r="B22" s="40">
        <v>43572.05</v>
      </c>
    </row>
    <row r="23" spans="1:2" ht="15.75">
      <c r="A23" s="4" t="s">
        <v>13</v>
      </c>
      <c r="B23" s="39">
        <v>5946.9</v>
      </c>
    </row>
    <row r="24" spans="1:2" ht="15.75">
      <c r="A24" s="4" t="s">
        <v>14</v>
      </c>
      <c r="B24" s="12">
        <f>B23/B7</f>
        <v>0.023312674201173687</v>
      </c>
    </row>
    <row r="25" spans="1:2" ht="15.75">
      <c r="A25" s="4" t="s">
        <v>30</v>
      </c>
      <c r="B25" s="39">
        <v>10661</v>
      </c>
    </row>
    <row r="26" spans="1:2" ht="15.75">
      <c r="A26" s="4" t="s">
        <v>31</v>
      </c>
      <c r="B26" s="39">
        <v>137057.17</v>
      </c>
    </row>
    <row r="27" spans="1:2" ht="15.75">
      <c r="A27" s="4" t="s">
        <v>32</v>
      </c>
      <c r="B27" s="12">
        <f>B26/B7</f>
        <v>0.537283147714755</v>
      </c>
    </row>
    <row r="28" spans="1:2" ht="15.75">
      <c r="A28" s="4" t="s">
        <v>15</v>
      </c>
      <c r="B28" s="32">
        <v>135719</v>
      </c>
    </row>
    <row r="29" spans="1:2" ht="15.75">
      <c r="A29" s="4" t="s">
        <v>16</v>
      </c>
      <c r="B29" s="7">
        <f>B28/B7</f>
        <v>0.5320373354031667</v>
      </c>
    </row>
    <row r="30" spans="1:2" ht="15.75">
      <c r="A30" s="14" t="s">
        <v>17</v>
      </c>
      <c r="B30" s="35">
        <v>0</v>
      </c>
    </row>
    <row r="31" spans="1:2" ht="15.75">
      <c r="A31" s="4" t="s">
        <v>18</v>
      </c>
      <c r="B31" s="20">
        <f>_xlfn.IFERROR(B30/B7,2)</f>
        <v>0</v>
      </c>
    </row>
    <row r="32" spans="1:5" ht="15.75">
      <c r="A32" s="10" t="s">
        <v>19</v>
      </c>
      <c r="B32" s="37">
        <f>B19+B23+B26+B28+B30</f>
        <v>7129064.430000001</v>
      </c>
      <c r="D32" s="17"/>
      <c r="E32" s="38"/>
    </row>
    <row r="33" spans="1:2" ht="15.75">
      <c r="A33" s="10" t="s">
        <v>20</v>
      </c>
      <c r="B33" s="15">
        <f>B32/B7</f>
        <v>27.946923004551284</v>
      </c>
    </row>
    <row r="34" spans="1:2" ht="15.75">
      <c r="A34" s="4"/>
      <c r="B34" s="9"/>
    </row>
    <row r="35" spans="1:2" ht="15.75">
      <c r="A35" s="4"/>
      <c r="B35" s="9"/>
    </row>
    <row r="36" spans="1:2" ht="15.75">
      <c r="A36" s="4"/>
      <c r="B36" s="3" t="s">
        <v>52</v>
      </c>
    </row>
    <row r="37" spans="1:5" ht="15.75">
      <c r="A37" s="4" t="s">
        <v>21</v>
      </c>
      <c r="B37" s="34">
        <v>8310064.44</v>
      </c>
      <c r="E37" s="38"/>
    </row>
    <row r="38" spans="1:2" ht="15.75">
      <c r="A38" s="4" t="s">
        <v>22</v>
      </c>
      <c r="B38" s="7">
        <v>6989072.53</v>
      </c>
    </row>
    <row r="39" spans="1:2" ht="15.75">
      <c r="A39" s="4" t="s">
        <v>47</v>
      </c>
      <c r="B39" s="34">
        <v>162427.21</v>
      </c>
    </row>
    <row r="40" spans="1:2" ht="15.75">
      <c r="A40" s="14" t="s">
        <v>23</v>
      </c>
      <c r="B40" s="35">
        <v>57677</v>
      </c>
    </row>
    <row r="41" spans="1:2" ht="15.75">
      <c r="A41" s="14" t="s">
        <v>24</v>
      </c>
      <c r="B41" s="7">
        <f>SUM(B37:B40)</f>
        <v>15519241.180000002</v>
      </c>
    </row>
    <row r="42" spans="1:2" ht="15.75">
      <c r="A42" s="14" t="s">
        <v>25</v>
      </c>
      <c r="B42" s="44">
        <v>0.0785</v>
      </c>
    </row>
    <row r="43" spans="1:2" ht="15.75">
      <c r="A43" s="21" t="s">
        <v>26</v>
      </c>
      <c r="B43" s="22">
        <f>ROUND(B41*B42/365*30,2)</f>
        <v>100130.99</v>
      </c>
    </row>
    <row r="44" spans="1:2" ht="15.75">
      <c r="A44" s="14"/>
      <c r="B44" s="9"/>
    </row>
    <row r="46" spans="1:2" ht="15.75">
      <c r="A46" s="1" t="s">
        <v>40</v>
      </c>
      <c r="B46" s="3" t="s">
        <v>52</v>
      </c>
    </row>
    <row r="47" spans="1:2" ht="15.75">
      <c r="A47" s="1" t="s">
        <v>53</v>
      </c>
      <c r="B47" s="42">
        <v>51729.41</v>
      </c>
    </row>
    <row r="48" spans="1:2" ht="15.75">
      <c r="A48" s="14" t="s">
        <v>37</v>
      </c>
      <c r="B48" s="3" t="s">
        <v>38</v>
      </c>
    </row>
    <row r="49" spans="1:2" ht="15.75">
      <c r="A49" s="26" t="s">
        <v>39</v>
      </c>
      <c r="B49" s="42">
        <v>0</v>
      </c>
    </row>
    <row r="50" spans="1:2" ht="15.75">
      <c r="A50" s="26" t="s">
        <v>36</v>
      </c>
      <c r="B50" s="42">
        <v>2075</v>
      </c>
    </row>
    <row r="51" spans="1:2" ht="15.75">
      <c r="A51" s="14" t="s">
        <v>41</v>
      </c>
      <c r="B51" s="3" t="s">
        <v>38</v>
      </c>
    </row>
    <row r="52" spans="1:3" ht="15.75">
      <c r="A52" s="26" t="s">
        <v>42</v>
      </c>
      <c r="B52" s="27">
        <v>0</v>
      </c>
      <c r="C52" s="31" t="s">
        <v>50</v>
      </c>
    </row>
    <row r="53" spans="1:3" ht="15.75">
      <c r="A53" s="14" t="s">
        <v>43</v>
      </c>
      <c r="B53" s="24">
        <v>0</v>
      </c>
      <c r="C53" s="16" t="s">
        <v>49</v>
      </c>
    </row>
    <row r="54" spans="1:2" ht="15.75">
      <c r="A54" s="14" t="s">
        <v>44</v>
      </c>
      <c r="B54" s="28" t="s">
        <v>38</v>
      </c>
    </row>
    <row r="55" spans="1:2" ht="15.75">
      <c r="A55" s="21" t="s">
        <v>46</v>
      </c>
      <c r="B55" s="45">
        <f>SUM(B47:B54)</f>
        <v>53804.41</v>
      </c>
    </row>
    <row r="56" spans="1:2" ht="15.75">
      <c r="A56" s="14"/>
      <c r="B56" s="24"/>
    </row>
    <row r="57" spans="1:2" ht="15.75">
      <c r="A57" s="14"/>
      <c r="B57" s="24"/>
    </row>
    <row r="58" spans="1:2" ht="15.75">
      <c r="A58" s="14"/>
      <c r="B58" s="24"/>
    </row>
    <row r="59" spans="1:2" ht="15.75">
      <c r="A59" s="21" t="s">
        <v>45</v>
      </c>
      <c r="B59" s="43">
        <v>3909.97</v>
      </c>
    </row>
    <row r="60" spans="1:2" ht="15.75">
      <c r="A60" s="14"/>
      <c r="B60" s="14"/>
    </row>
    <row r="63" spans="1:2" ht="16.5" thickBot="1">
      <c r="A63" s="30" t="s">
        <v>48</v>
      </c>
      <c r="B63" s="29">
        <f>+B14+B32+B43+B55+B59</f>
        <v>9221495.000000002</v>
      </c>
    </row>
    <row r="64" ht="15.75" thickTop="1"/>
  </sheetData>
  <printOptions/>
  <pageMargins left="0.2" right="0.2" top="0.25" bottom="0.25" header="0.3" footer="0.3"/>
  <pageSetup horizontalDpi="600" verticalDpi="600" orientation="portrait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1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41.421875" style="16" bestFit="1" customWidth="1"/>
    <col min="2" max="2" width="17.57421875" style="16" bestFit="1" customWidth="1"/>
    <col min="3" max="3" width="5.7109375" style="16" customWidth="1"/>
    <col min="4" max="4" width="19.57421875" style="16" customWidth="1"/>
    <col min="5" max="5" width="5.7109375" style="16" customWidth="1"/>
    <col min="6" max="6" width="25.28125" style="16" customWidth="1"/>
    <col min="7" max="7" width="9.00390625" style="16" customWidth="1"/>
    <col min="8" max="8" width="19.140625" style="16" customWidth="1"/>
    <col min="9" max="9" width="28.421875" style="16" customWidth="1"/>
    <col min="10" max="16384" width="9.140625" style="16" customWidth="1"/>
  </cols>
  <sheetData>
    <row r="1" ht="15.75">
      <c r="A1" s="14" t="s">
        <v>34</v>
      </c>
    </row>
    <row r="2" ht="15.75">
      <c r="A2" s="14" t="s">
        <v>35</v>
      </c>
    </row>
    <row r="3" ht="15.75">
      <c r="A3" s="14" t="s">
        <v>88</v>
      </c>
    </row>
    <row r="4" spans="4:9" ht="15.75">
      <c r="D4" s="14" t="s">
        <v>90</v>
      </c>
      <c r="E4" s="14"/>
      <c r="F4" s="14" t="s">
        <v>58</v>
      </c>
      <c r="G4" s="14"/>
      <c r="H4" s="99" t="s">
        <v>90</v>
      </c>
      <c r="I4" s="14" t="s">
        <v>58</v>
      </c>
    </row>
    <row r="5" spans="1:9" ht="15.75">
      <c r="A5" s="1" t="s">
        <v>33</v>
      </c>
      <c r="B5" s="2" t="s">
        <v>27</v>
      </c>
      <c r="D5" s="14" t="s">
        <v>27</v>
      </c>
      <c r="E5" s="14"/>
      <c r="F5" s="14" t="s">
        <v>59</v>
      </c>
      <c r="G5" s="14"/>
      <c r="H5" s="99" t="s">
        <v>27</v>
      </c>
      <c r="I5" s="14" t="s">
        <v>91</v>
      </c>
    </row>
    <row r="6" spans="2:8" ht="15.75">
      <c r="B6" s="3" t="s">
        <v>28</v>
      </c>
      <c r="D6" s="3" t="s">
        <v>28</v>
      </c>
      <c r="E6" s="3"/>
      <c r="H6" s="100" t="s">
        <v>28</v>
      </c>
    </row>
    <row r="7" spans="1:8" ht="15.75">
      <c r="A7" s="4" t="s">
        <v>0</v>
      </c>
      <c r="B7" s="5">
        <v>89209</v>
      </c>
      <c r="D7" s="5">
        <v>89209</v>
      </c>
      <c r="E7" s="5"/>
      <c r="H7" s="5">
        <v>89209</v>
      </c>
    </row>
    <row r="8" spans="1:5" ht="15.75">
      <c r="A8" s="4"/>
      <c r="B8" s="5"/>
      <c r="D8" s="5"/>
      <c r="E8" s="5"/>
    </row>
    <row r="9" spans="1:8" ht="15.75">
      <c r="A9" s="6" t="s">
        <v>1</v>
      </c>
      <c r="B9" s="3" t="s">
        <v>28</v>
      </c>
      <c r="D9" s="3" t="s">
        <v>28</v>
      </c>
      <c r="E9" s="3"/>
      <c r="H9" s="3" t="s">
        <v>28</v>
      </c>
    </row>
    <row r="10" spans="1:8" ht="15.75">
      <c r="A10" s="4" t="s">
        <v>2</v>
      </c>
      <c r="B10" s="19">
        <v>436325.39</v>
      </c>
      <c r="D10" s="19">
        <f>436325.39+4316.57</f>
        <v>440641.96</v>
      </c>
      <c r="E10" s="51"/>
      <c r="F10" s="12">
        <v>4316.57</v>
      </c>
      <c r="G10" s="58">
        <v>1</v>
      </c>
      <c r="H10" s="19">
        <f>436325.39+4316.57</f>
        <v>440641.96</v>
      </c>
    </row>
    <row r="11" spans="1:8" ht="15.75">
      <c r="A11" s="4" t="s">
        <v>3</v>
      </c>
      <c r="B11" s="7">
        <f>364694.45</f>
        <v>364694.45</v>
      </c>
      <c r="D11" s="7">
        <f>364694.45</f>
        <v>364694.45</v>
      </c>
      <c r="E11" s="52"/>
      <c r="H11" s="7">
        <f>364694.45</f>
        <v>364694.45</v>
      </c>
    </row>
    <row r="12" spans="1:8" ht="15.75">
      <c r="A12" s="4" t="s">
        <v>4</v>
      </c>
      <c r="B12" s="7">
        <v>155236.71</v>
      </c>
      <c r="D12" s="7">
        <f>155236.71+F12</f>
        <v>155582.78999999998</v>
      </c>
      <c r="E12" s="52"/>
      <c r="F12" s="50">
        <v>346.08</v>
      </c>
      <c r="G12" s="58">
        <v>2</v>
      </c>
      <c r="H12" s="7">
        <v>155582.79</v>
      </c>
    </row>
    <row r="13" spans="1:8" ht="15.75">
      <c r="A13" s="4" t="s">
        <v>5</v>
      </c>
      <c r="B13" s="20">
        <f>12796.65+21237.54</f>
        <v>34034.19</v>
      </c>
      <c r="D13" s="20">
        <f>12796.65+21237.54+F13</f>
        <v>1686.8400000000038</v>
      </c>
      <c r="E13" s="85"/>
      <c r="F13" s="65">
        <v>-32347.35</v>
      </c>
      <c r="G13" s="58">
        <v>3</v>
      </c>
      <c r="H13" s="20">
        <v>1686.84</v>
      </c>
    </row>
    <row r="14" spans="1:8" ht="15.75">
      <c r="A14" s="6" t="s">
        <v>6</v>
      </c>
      <c r="B14" s="18">
        <f>SUM(B10:B13)</f>
        <v>990290.74</v>
      </c>
      <c r="D14" s="18">
        <f>SUM(D10:D13)</f>
        <v>962606.0399999999</v>
      </c>
      <c r="E14" s="75"/>
      <c r="F14" s="24">
        <f>SUM(F10:F13)</f>
        <v>-27684.699999999997</v>
      </c>
      <c r="H14" s="18">
        <f>SUM(H10:H13)</f>
        <v>962606.04</v>
      </c>
    </row>
    <row r="15" spans="1:8" ht="15.75">
      <c r="A15" s="6" t="s">
        <v>7</v>
      </c>
      <c r="B15" s="8">
        <f>B14/B7</f>
        <v>11.10079409028237</v>
      </c>
      <c r="D15" s="8">
        <f>D14/D7</f>
        <v>10.790458810209731</v>
      </c>
      <c r="E15" s="76"/>
      <c r="H15" s="8">
        <f>H14/H7</f>
        <v>10.790458810209733</v>
      </c>
    </row>
    <row r="16" spans="1:8" ht="15.75">
      <c r="A16" s="4"/>
      <c r="B16" s="9"/>
      <c r="D16" s="9"/>
      <c r="E16" s="57"/>
      <c r="H16" s="9"/>
    </row>
    <row r="17" spans="1:8" ht="15.75">
      <c r="A17" s="6" t="s">
        <v>55</v>
      </c>
      <c r="B17" s="3" t="str">
        <f>B6</f>
        <v>08/20 - 08/31</v>
      </c>
      <c r="D17" s="3" t="s">
        <v>28</v>
      </c>
      <c r="E17" s="77"/>
      <c r="F17" s="9"/>
      <c r="H17" s="3" t="s">
        <v>28</v>
      </c>
    </row>
    <row r="18" spans="1:11" ht="15.75">
      <c r="A18" s="4" t="s">
        <v>55</v>
      </c>
      <c r="B18" s="71">
        <v>0</v>
      </c>
      <c r="D18" s="93">
        <v>14554</v>
      </c>
      <c r="E18" s="51"/>
      <c r="F18" s="71"/>
      <c r="H18" s="93">
        <v>12946.36</v>
      </c>
      <c r="I18" s="101">
        <f>12946.36-14554</f>
        <v>-1607.6399999999994</v>
      </c>
      <c r="J18" s="60"/>
      <c r="K18" s="60"/>
    </row>
    <row r="19" spans="1:11" ht="15.75">
      <c r="A19" s="6" t="s">
        <v>56</v>
      </c>
      <c r="B19" s="96">
        <f>SUM(B18)</f>
        <v>0</v>
      </c>
      <c r="D19" s="97">
        <f>SUM(D18)</f>
        <v>14554</v>
      </c>
      <c r="E19" s="76"/>
      <c r="F19" s="76">
        <v>14554</v>
      </c>
      <c r="G19" s="61">
        <v>4</v>
      </c>
      <c r="H19" s="97">
        <f>SUM(H18)</f>
        <v>12946.36</v>
      </c>
      <c r="I19" s="27">
        <f>SUM(I18)</f>
        <v>-1607.6399999999994</v>
      </c>
      <c r="J19" s="58">
        <v>1</v>
      </c>
      <c r="K19" s="60"/>
    </row>
    <row r="20" spans="1:11" ht="15.75">
      <c r="A20" s="6" t="s">
        <v>57</v>
      </c>
      <c r="B20" s="8">
        <f>B19/B7</f>
        <v>0</v>
      </c>
      <c r="D20" s="8">
        <f>D19/D7</f>
        <v>0.16314497416179982</v>
      </c>
      <c r="E20" s="76"/>
      <c r="F20" s="13"/>
      <c r="G20" s="60"/>
      <c r="H20" s="8">
        <f>H19/H7</f>
        <v>0.14512392247418984</v>
      </c>
      <c r="I20" s="60"/>
      <c r="J20" s="60"/>
      <c r="K20" s="60"/>
    </row>
    <row r="21" spans="1:8" ht="15.75">
      <c r="A21" s="4"/>
      <c r="B21" s="9"/>
      <c r="D21" s="9"/>
      <c r="E21" s="57"/>
      <c r="H21" s="9"/>
    </row>
    <row r="22" spans="1:8" ht="15.75">
      <c r="A22" s="10" t="s">
        <v>8</v>
      </c>
      <c r="B22" s="3" t="s">
        <v>28</v>
      </c>
      <c r="D22" s="3" t="s">
        <v>28</v>
      </c>
      <c r="E22" s="77"/>
      <c r="H22" s="3" t="s">
        <v>28</v>
      </c>
    </row>
    <row r="23" spans="1:8" ht="15.75">
      <c r="A23" s="4" t="s">
        <v>9</v>
      </c>
      <c r="B23" s="11">
        <v>42134.85</v>
      </c>
      <c r="D23" s="11">
        <v>42134.85</v>
      </c>
      <c r="E23" s="49"/>
      <c r="H23" s="11">
        <v>42134.85</v>
      </c>
    </row>
    <row r="24" spans="1:8" ht="15.75">
      <c r="A24" s="4" t="s">
        <v>10</v>
      </c>
      <c r="B24" s="12">
        <v>2333095.13</v>
      </c>
      <c r="D24" s="12">
        <v>2333095.13</v>
      </c>
      <c r="E24" s="50"/>
      <c r="H24" s="12">
        <v>2333095.13</v>
      </c>
    </row>
    <row r="25" spans="1:8" ht="15.75">
      <c r="A25" s="4" t="s">
        <v>11</v>
      </c>
      <c r="B25" s="13">
        <f aca="true" t="shared" si="0" ref="B25:D25">B24/B7</f>
        <v>26.153136230649373</v>
      </c>
      <c r="D25" s="13">
        <f t="shared" si="0"/>
        <v>26.153136230649373</v>
      </c>
      <c r="E25" s="63"/>
      <c r="H25" s="13">
        <f aca="true" t="shared" si="1" ref="H25">H24/H7</f>
        <v>26.153136230649373</v>
      </c>
    </row>
    <row r="26" spans="1:8" ht="15.75">
      <c r="A26" s="4" t="s">
        <v>12</v>
      </c>
      <c r="B26" s="13">
        <v>2.4</v>
      </c>
      <c r="D26" s="13">
        <v>2.4</v>
      </c>
      <c r="E26" s="63"/>
      <c r="H26" s="13">
        <v>2.4</v>
      </c>
    </row>
    <row r="27" spans="1:8" ht="15.75">
      <c r="A27" s="4" t="s">
        <v>29</v>
      </c>
      <c r="B27" s="13">
        <v>1652.5</v>
      </c>
      <c r="D27" s="13">
        <v>1652.5</v>
      </c>
      <c r="E27" s="63"/>
      <c r="H27" s="13">
        <v>1652.5</v>
      </c>
    </row>
    <row r="28" spans="1:8" ht="15.75">
      <c r="A28" s="4" t="s">
        <v>13</v>
      </c>
      <c r="B28" s="12">
        <v>8908.13</v>
      </c>
      <c r="D28" s="12">
        <v>8908.13</v>
      </c>
      <c r="E28" s="50"/>
      <c r="H28" s="12">
        <v>8908.13</v>
      </c>
    </row>
    <row r="29" spans="1:8" ht="15.75">
      <c r="A29" s="4" t="s">
        <v>14</v>
      </c>
      <c r="B29" s="12">
        <f>B28/B7</f>
        <v>0.09985685300810455</v>
      </c>
      <c r="D29" s="12">
        <f>D28/D7</f>
        <v>0.09985685300810455</v>
      </c>
      <c r="E29" s="50"/>
      <c r="H29" s="12">
        <f>H28/H7</f>
        <v>0.09985685300810455</v>
      </c>
    </row>
    <row r="30" spans="1:8" ht="15.75">
      <c r="A30" s="4" t="s">
        <v>30</v>
      </c>
      <c r="B30" s="12">
        <v>3736</v>
      </c>
      <c r="D30" s="12">
        <v>3736</v>
      </c>
      <c r="E30" s="50"/>
      <c r="H30" s="12">
        <v>3736</v>
      </c>
    </row>
    <row r="31" spans="1:8" ht="15.75">
      <c r="A31" s="4" t="s">
        <v>31</v>
      </c>
      <c r="B31" s="12">
        <v>48019.18</v>
      </c>
      <c r="D31" s="12">
        <v>48019.18</v>
      </c>
      <c r="E31" s="50"/>
      <c r="H31" s="12">
        <v>48019.18</v>
      </c>
    </row>
    <row r="32" spans="1:8" ht="15.75">
      <c r="A32" s="4" t="s">
        <v>32</v>
      </c>
      <c r="B32" s="12">
        <f>B31/B7</f>
        <v>0.538277303859476</v>
      </c>
      <c r="D32" s="12">
        <f>D31/D7</f>
        <v>0.538277303859476</v>
      </c>
      <c r="E32" s="50"/>
      <c r="H32" s="12">
        <f>H31/H7</f>
        <v>0.538277303859476</v>
      </c>
    </row>
    <row r="33" spans="1:8" ht="15.75">
      <c r="A33" s="4" t="s">
        <v>15</v>
      </c>
      <c r="B33" s="19">
        <v>58644.59</v>
      </c>
      <c r="D33" s="19">
        <v>58644.59</v>
      </c>
      <c r="E33" s="51"/>
      <c r="H33" s="19">
        <v>58644.59</v>
      </c>
    </row>
    <row r="34" spans="1:9" ht="15.75">
      <c r="A34" s="4" t="s">
        <v>16</v>
      </c>
      <c r="B34" s="19">
        <f>B33/B7</f>
        <v>0.6573842325325919</v>
      </c>
      <c r="D34" s="19">
        <f>D33/D7</f>
        <v>0.6573842325325919</v>
      </c>
      <c r="E34" s="51"/>
      <c r="F34" s="57"/>
      <c r="G34" s="60"/>
      <c r="H34" s="19">
        <f>H33/H7</f>
        <v>0.6573842325325919</v>
      </c>
      <c r="I34" s="60"/>
    </row>
    <row r="35" spans="1:9" ht="15.75">
      <c r="A35" s="14" t="s">
        <v>17</v>
      </c>
      <c r="B35" s="19">
        <v>0</v>
      </c>
      <c r="D35" s="32">
        <v>11618.56</v>
      </c>
      <c r="E35" s="51"/>
      <c r="F35" s="12">
        <v>11618.56</v>
      </c>
      <c r="G35" s="61">
        <v>5</v>
      </c>
      <c r="H35" s="32">
        <v>11618.56</v>
      </c>
      <c r="I35" s="60"/>
    </row>
    <row r="36" spans="1:9" ht="15.75">
      <c r="A36" s="4" t="s">
        <v>18</v>
      </c>
      <c r="B36" s="94">
        <v>0</v>
      </c>
      <c r="D36" s="93">
        <f>D35/D7</f>
        <v>0.1302397740138327</v>
      </c>
      <c r="E36" s="51"/>
      <c r="F36" s="95"/>
      <c r="G36" s="60"/>
      <c r="H36" s="93">
        <f>H35/H7</f>
        <v>0.1302397740138327</v>
      </c>
      <c r="I36" s="60"/>
    </row>
    <row r="37" spans="1:8" ht="15.75">
      <c r="A37" s="10" t="s">
        <v>19</v>
      </c>
      <c r="B37" s="15">
        <f>B24+B28+B31+B33+B35</f>
        <v>2448667.03</v>
      </c>
      <c r="D37" s="15">
        <f>D24+D28+D31+D33+D35</f>
        <v>2460285.59</v>
      </c>
      <c r="E37" s="84"/>
      <c r="F37" s="76">
        <f>SUM(F23:F36)</f>
        <v>11618.56</v>
      </c>
      <c r="H37" s="15">
        <f>H24+H28+H31+H33+H35</f>
        <v>2460285.59</v>
      </c>
    </row>
    <row r="38" spans="1:8" ht="15.75">
      <c r="A38" s="10" t="s">
        <v>20</v>
      </c>
      <c r="B38" s="15">
        <f>B37/B7</f>
        <v>27.448654620049545</v>
      </c>
      <c r="D38" s="15">
        <f>D37/D7</f>
        <v>27.57889439406338</v>
      </c>
      <c r="E38" s="84"/>
      <c r="H38" s="15">
        <f>H37/H7</f>
        <v>27.57889439406338</v>
      </c>
    </row>
    <row r="39" spans="1:8" ht="15.75">
      <c r="A39" s="4"/>
      <c r="B39" s="9"/>
      <c r="D39" s="9"/>
      <c r="E39" s="57"/>
      <c r="H39" s="9"/>
    </row>
    <row r="40" spans="1:8" ht="15.75">
      <c r="A40" s="4"/>
      <c r="B40" s="9"/>
      <c r="D40" s="9"/>
      <c r="E40" s="57"/>
      <c r="H40" s="9"/>
    </row>
    <row r="41" spans="1:8" ht="15.75">
      <c r="A41" s="4"/>
      <c r="B41" s="3" t="s">
        <v>28</v>
      </c>
      <c r="D41" s="3" t="s">
        <v>28</v>
      </c>
      <c r="E41" s="77"/>
      <c r="H41" s="3" t="s">
        <v>28</v>
      </c>
    </row>
    <row r="42" spans="1:8" ht="15.75">
      <c r="A42" s="4" t="s">
        <v>21</v>
      </c>
      <c r="B42" s="7">
        <v>7182778.12</v>
      </c>
      <c r="D42" s="7">
        <v>7182778.12</v>
      </c>
      <c r="E42" s="52"/>
      <c r="F42" s="60"/>
      <c r="G42" s="60"/>
      <c r="H42" s="7">
        <v>7182778.12</v>
      </c>
    </row>
    <row r="43" spans="1:8" ht="15.75">
      <c r="A43" s="4" t="s">
        <v>22</v>
      </c>
      <c r="B43" s="7">
        <v>6791303.59</v>
      </c>
      <c r="D43" s="7">
        <v>1629029.59</v>
      </c>
      <c r="E43" s="52"/>
      <c r="F43" s="62">
        <f>D43-B43</f>
        <v>-5162274</v>
      </c>
      <c r="G43" s="61">
        <v>6</v>
      </c>
      <c r="H43" s="7">
        <v>1629029.59</v>
      </c>
    </row>
    <row r="44" spans="1:8" ht="15.75">
      <c r="A44" s="4" t="s">
        <v>47</v>
      </c>
      <c r="B44" s="7">
        <v>177391.54</v>
      </c>
      <c r="D44" s="7">
        <v>177391.54</v>
      </c>
      <c r="E44" s="52"/>
      <c r="F44" s="60"/>
      <c r="G44" s="60"/>
      <c r="H44" s="7">
        <v>177391.54</v>
      </c>
    </row>
    <row r="45" spans="1:8" ht="15.75">
      <c r="A45" s="14" t="s">
        <v>23</v>
      </c>
      <c r="B45" s="20">
        <v>14554</v>
      </c>
      <c r="D45" s="20">
        <v>0</v>
      </c>
      <c r="E45" s="85"/>
      <c r="F45" s="62">
        <v>-14554</v>
      </c>
      <c r="G45" s="61">
        <v>7</v>
      </c>
      <c r="H45" s="20">
        <v>0</v>
      </c>
    </row>
    <row r="46" spans="1:8" ht="15.75">
      <c r="A46" s="14" t="s">
        <v>24</v>
      </c>
      <c r="B46" s="7">
        <f>SUM(B42:B45)</f>
        <v>14166027.25</v>
      </c>
      <c r="D46" s="7">
        <f>SUM(D42:D45)</f>
        <v>8989199.25</v>
      </c>
      <c r="E46" s="52"/>
      <c r="F46" s="7">
        <f>SUM(F42:F45)</f>
        <v>-5176828</v>
      </c>
      <c r="G46" s="7"/>
      <c r="H46" s="7">
        <f>SUM(H42:H45)</f>
        <v>8989199.25</v>
      </c>
    </row>
    <row r="47" spans="1:10" ht="15.75">
      <c r="A47" s="14" t="s">
        <v>25</v>
      </c>
      <c r="B47" s="23">
        <v>0.0785</v>
      </c>
      <c r="D47" s="23">
        <v>0.0785</v>
      </c>
      <c r="E47" s="86"/>
      <c r="F47" s="23">
        <v>0.0785</v>
      </c>
      <c r="G47" s="102"/>
      <c r="H47" s="23">
        <v>0.0785</v>
      </c>
      <c r="I47" s="60"/>
      <c r="J47" s="60"/>
    </row>
    <row r="48" spans="1:10" ht="15.75">
      <c r="A48" s="21" t="s">
        <v>26</v>
      </c>
      <c r="B48" s="22">
        <f>ROUND(B46*B47/365*12,2)</f>
        <v>36559.99</v>
      </c>
      <c r="D48" s="22">
        <f>ROUND(D46*D47/365*12,2)</f>
        <v>23199.52</v>
      </c>
      <c r="E48" s="90"/>
      <c r="F48" s="90">
        <f>ROUND(F46*F47/365*12,2)</f>
        <v>-13360.47</v>
      </c>
      <c r="G48" s="90"/>
      <c r="H48" s="22">
        <f>ROUND(H46*H47/365*12,2)</f>
        <v>23199.52</v>
      </c>
      <c r="I48" s="60"/>
      <c r="J48" s="60"/>
    </row>
    <row r="49" spans="1:10" ht="15.75">
      <c r="A49" s="14"/>
      <c r="B49" s="9"/>
      <c r="D49" s="9"/>
      <c r="E49" s="57"/>
      <c r="F49" s="60"/>
      <c r="G49" s="60"/>
      <c r="H49" s="9"/>
      <c r="I49" s="60"/>
      <c r="J49" s="60"/>
    </row>
    <row r="50" ht="12.75">
      <c r="E50" s="60"/>
    </row>
    <row r="51" spans="1:8" ht="15.75">
      <c r="A51" s="1" t="s">
        <v>40</v>
      </c>
      <c r="B51" s="3" t="s">
        <v>28</v>
      </c>
      <c r="D51" s="3" t="s">
        <v>28</v>
      </c>
      <c r="E51" s="77"/>
      <c r="H51" s="3" t="s">
        <v>28</v>
      </c>
    </row>
    <row r="52" spans="1:8" ht="15.75">
      <c r="A52" s="14" t="s">
        <v>37</v>
      </c>
      <c r="B52" s="3" t="s">
        <v>38</v>
      </c>
      <c r="D52" s="3" t="s">
        <v>38</v>
      </c>
      <c r="E52" s="77"/>
      <c r="H52" s="3" t="s">
        <v>38</v>
      </c>
    </row>
    <row r="53" spans="1:8" ht="15.75">
      <c r="A53" s="26" t="s">
        <v>39</v>
      </c>
      <c r="B53" s="27">
        <f>ROUND(64284.7*0.3525,2)</f>
        <v>22660.36</v>
      </c>
      <c r="D53" s="27">
        <f>ROUND(64284.7*0.3525,2)</f>
        <v>22660.36</v>
      </c>
      <c r="E53" s="27"/>
      <c r="H53" s="27">
        <f>ROUND(64284.7*0.3525,2)</f>
        <v>22660.36</v>
      </c>
    </row>
    <row r="54" spans="1:8" ht="15.75">
      <c r="A54" s="26" t="s">
        <v>36</v>
      </c>
      <c r="B54" s="27">
        <f>ROUND((2075/31)*12,2)</f>
        <v>803.23</v>
      </c>
      <c r="D54" s="27">
        <f>ROUND((2075/31)*12,2)</f>
        <v>803.23</v>
      </c>
      <c r="E54" s="27"/>
      <c r="H54" s="27">
        <f>ROUND((2075/31)*12,2)</f>
        <v>803.23</v>
      </c>
    </row>
    <row r="55" spans="1:8" ht="15.75">
      <c r="A55" s="14" t="s">
        <v>41</v>
      </c>
      <c r="B55" s="3" t="s">
        <v>38</v>
      </c>
      <c r="D55" s="3" t="s">
        <v>38</v>
      </c>
      <c r="E55" s="77"/>
      <c r="H55" s="3" t="s">
        <v>38</v>
      </c>
    </row>
    <row r="56" spans="1:10" ht="15.75">
      <c r="A56" s="26" t="s">
        <v>42</v>
      </c>
      <c r="B56" s="27">
        <v>0</v>
      </c>
      <c r="C56" s="31"/>
      <c r="D56" s="27">
        <v>0</v>
      </c>
      <c r="E56" s="27"/>
      <c r="F56" s="31"/>
      <c r="G56" s="31"/>
      <c r="H56" s="27">
        <v>0</v>
      </c>
      <c r="I56" s="31"/>
      <c r="J56" s="31" t="s">
        <v>50</v>
      </c>
    </row>
    <row r="57" spans="1:10" ht="15.75">
      <c r="A57" s="14" t="s">
        <v>43</v>
      </c>
      <c r="B57" s="24">
        <v>0</v>
      </c>
      <c r="D57" s="24">
        <v>0</v>
      </c>
      <c r="E57" s="27"/>
      <c r="H57" s="24">
        <v>0</v>
      </c>
      <c r="J57" s="16" t="s">
        <v>49</v>
      </c>
    </row>
    <row r="58" spans="1:8" ht="15.75">
      <c r="A58" s="14" t="s">
        <v>44</v>
      </c>
      <c r="B58" s="28" t="s">
        <v>38</v>
      </c>
      <c r="D58" s="28" t="s">
        <v>38</v>
      </c>
      <c r="E58" s="91"/>
      <c r="F58" s="69"/>
      <c r="G58" s="103"/>
      <c r="H58" s="28" t="s">
        <v>38</v>
      </c>
    </row>
    <row r="59" spans="1:8" ht="15.75">
      <c r="A59" s="21" t="s">
        <v>46</v>
      </c>
      <c r="B59" s="25">
        <f>SUM(B52:B58)</f>
        <v>23463.59</v>
      </c>
      <c r="D59" s="25">
        <f>SUM(D52:D58)</f>
        <v>23463.59</v>
      </c>
      <c r="E59" s="27"/>
      <c r="F59" s="27">
        <f>SUM(F51:F58)</f>
        <v>0</v>
      </c>
      <c r="G59" s="27"/>
      <c r="H59" s="25">
        <f>SUM(H52:H58)</f>
        <v>23463.59</v>
      </c>
    </row>
    <row r="60" spans="1:8" ht="15.75">
      <c r="A60" s="14"/>
      <c r="B60" s="24"/>
      <c r="D60" s="24"/>
      <c r="E60" s="27"/>
      <c r="H60" s="24"/>
    </row>
    <row r="61" spans="1:8" ht="15.75">
      <c r="A61" s="14"/>
      <c r="B61" s="24"/>
      <c r="D61" s="24"/>
      <c r="E61" s="27"/>
      <c r="H61" s="24"/>
    </row>
    <row r="62" spans="1:8" ht="15.75">
      <c r="A62" s="14"/>
      <c r="B62" s="24"/>
      <c r="D62" s="24"/>
      <c r="E62" s="27"/>
      <c r="H62" s="24"/>
    </row>
    <row r="63" spans="1:8" ht="15.75">
      <c r="A63" s="21" t="s">
        <v>45</v>
      </c>
      <c r="B63" s="25">
        <f>ROUND(46919.63/365*12,2)</f>
        <v>1542.56</v>
      </c>
      <c r="D63" s="25">
        <f>ROUND(46919.63/365*12,2)</f>
        <v>1542.56</v>
      </c>
      <c r="E63" s="27"/>
      <c r="F63" s="27">
        <f>SUM(F55:F62)</f>
        <v>0</v>
      </c>
      <c r="G63" s="27"/>
      <c r="H63" s="25">
        <f>ROUND(46919.63/365*12,2)</f>
        <v>1542.56</v>
      </c>
    </row>
    <row r="64" spans="1:8" ht="15.75">
      <c r="A64" s="14"/>
      <c r="B64" s="14"/>
      <c r="D64" s="14"/>
      <c r="E64" s="26"/>
      <c r="H64" s="14"/>
    </row>
    <row r="65" ht="12.75">
      <c r="E65" s="60"/>
    </row>
    <row r="66" ht="12.75">
      <c r="E66" s="60"/>
    </row>
    <row r="67" spans="1:13" ht="16.5" thickBot="1">
      <c r="A67" s="30" t="s">
        <v>48</v>
      </c>
      <c r="B67" s="67">
        <f>+B14+B37+B48+B59+B63</f>
        <v>3500523.9099999997</v>
      </c>
      <c r="D67" s="67">
        <f>+D14+D19+D37+D48+D59+D63</f>
        <v>3485651.3</v>
      </c>
      <c r="E67" s="92"/>
      <c r="F67" s="67">
        <f>D67-B67</f>
        <v>-14872.60999999987</v>
      </c>
      <c r="G67" s="104"/>
      <c r="H67" s="67">
        <f>+H14+H19+H37+H48+H59+H63</f>
        <v>3484043.6599999997</v>
      </c>
      <c r="I67" s="67">
        <f>H67-D67</f>
        <v>-1607.6400000001304</v>
      </c>
      <c r="J67" s="60" t="s">
        <v>81</v>
      </c>
      <c r="K67" s="60"/>
      <c r="L67" s="60"/>
      <c r="M67" s="60"/>
    </row>
    <row r="68" ht="15.75" thickTop="1">
      <c r="E68" s="60"/>
    </row>
    <row r="69" ht="12.75">
      <c r="E69" s="60"/>
    </row>
    <row r="70" spans="1:5" ht="12.75">
      <c r="A70" s="59" t="s">
        <v>92</v>
      </c>
      <c r="E70" s="60"/>
    </row>
    <row r="71" spans="1:5" ht="12.75">
      <c r="A71" s="59" t="s">
        <v>93</v>
      </c>
      <c r="E71" s="60"/>
    </row>
    <row r="72" spans="1:5" ht="12.75">
      <c r="A72" s="59" t="s">
        <v>94</v>
      </c>
      <c r="E72" s="60"/>
    </row>
    <row r="73" spans="1:5" ht="12.75">
      <c r="A73" s="59"/>
      <c r="E73" s="60"/>
    </row>
    <row r="74" spans="1:5" ht="12.75">
      <c r="A74" s="59"/>
      <c r="E74" s="60"/>
    </row>
    <row r="75" spans="1:5" ht="12.75">
      <c r="A75" s="59"/>
      <c r="E75" s="60"/>
    </row>
    <row r="76" ht="12.75">
      <c r="A76" s="59"/>
    </row>
    <row r="77" ht="12.75">
      <c r="A77" s="59"/>
    </row>
    <row r="78" spans="1:5" ht="12.75">
      <c r="A78" s="59"/>
      <c r="E78" s="60"/>
    </row>
    <row r="79" spans="1:5" ht="12.75">
      <c r="A79" s="59"/>
      <c r="E79" s="60"/>
    </row>
    <row r="80" spans="1:5" ht="12.75">
      <c r="A80" s="59"/>
      <c r="E80" s="60"/>
    </row>
    <row r="81" spans="1:5" ht="12.75">
      <c r="A81" s="59"/>
      <c r="E81" s="60"/>
    </row>
    <row r="101" ht="12.75">
      <c r="A101" s="16">
        <f>4834.54*12/31</f>
        <v>1871.4348387096773</v>
      </c>
    </row>
  </sheetData>
  <printOptions/>
  <pageMargins left="0.7" right="0.7" top="0.75" bottom="0.75" header="0.3" footer="0.3"/>
  <pageSetup fitToHeight="1" fitToWidth="1" horizontalDpi="600" verticalDpi="600" orientation="landscape" scale="4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workbookViewId="0" topLeftCell="A1">
      <selection activeCell="A1" sqref="A1:XFD1048576"/>
    </sheetView>
  </sheetViews>
  <sheetFormatPr defaultColWidth="9.140625" defaultRowHeight="12.75"/>
  <cols>
    <col min="1" max="1" width="41.421875" style="16" bestFit="1" customWidth="1"/>
    <col min="2" max="2" width="17.57421875" style="16" bestFit="1" customWidth="1"/>
    <col min="3" max="3" width="5.7109375" style="16" customWidth="1"/>
    <col min="4" max="4" width="19.57421875" style="16" customWidth="1"/>
    <col min="5" max="5" width="5.7109375" style="16" customWidth="1"/>
    <col min="6" max="6" width="25.28125" style="16" customWidth="1"/>
    <col min="7" max="16384" width="9.140625" style="16" customWidth="1"/>
  </cols>
  <sheetData>
    <row r="1" ht="15.75">
      <c r="A1" s="14" t="s">
        <v>34</v>
      </c>
    </row>
    <row r="2" ht="15.75">
      <c r="A2" s="14" t="s">
        <v>35</v>
      </c>
    </row>
    <row r="3" ht="15.75">
      <c r="A3" s="14" t="s">
        <v>83</v>
      </c>
    </row>
    <row r="4" spans="4:6" ht="15.75">
      <c r="D4" s="14" t="s">
        <v>54</v>
      </c>
      <c r="E4" s="14"/>
      <c r="F4" s="14" t="s">
        <v>58</v>
      </c>
    </row>
    <row r="5" spans="1:6" ht="15.75">
      <c r="A5" s="1" t="s">
        <v>33</v>
      </c>
      <c r="B5" s="2" t="s">
        <v>27</v>
      </c>
      <c r="D5" s="14" t="s">
        <v>27</v>
      </c>
      <c r="E5" s="14"/>
      <c r="F5" s="14" t="s">
        <v>59</v>
      </c>
    </row>
    <row r="6" spans="2:5" ht="15.75">
      <c r="B6" s="3" t="s">
        <v>28</v>
      </c>
      <c r="D6" s="3" t="s">
        <v>28</v>
      </c>
      <c r="E6" s="3"/>
    </row>
    <row r="7" spans="1:5" ht="15.75">
      <c r="A7" s="4" t="s">
        <v>0</v>
      </c>
      <c r="B7" s="5">
        <v>89209</v>
      </c>
      <c r="D7" s="5">
        <v>89209</v>
      </c>
      <c r="E7" s="5"/>
    </row>
    <row r="8" spans="1:5" ht="15.75">
      <c r="A8" s="4"/>
      <c r="B8" s="5"/>
      <c r="D8" s="5"/>
      <c r="E8" s="5"/>
    </row>
    <row r="9" spans="1:5" ht="15.75">
      <c r="A9" s="6" t="s">
        <v>1</v>
      </c>
      <c r="B9" s="3" t="s">
        <v>28</v>
      </c>
      <c r="D9" s="3" t="s">
        <v>28</v>
      </c>
      <c r="E9" s="3"/>
    </row>
    <row r="10" spans="1:7" ht="15.75">
      <c r="A10" s="4" t="s">
        <v>2</v>
      </c>
      <c r="B10" s="19">
        <v>436325.39</v>
      </c>
      <c r="D10" s="19">
        <f>436325.39+4316.57</f>
        <v>440641.96</v>
      </c>
      <c r="E10" s="51"/>
      <c r="F10" s="12">
        <v>4316.57</v>
      </c>
      <c r="G10" s="58">
        <v>1</v>
      </c>
    </row>
    <row r="11" spans="1:5" ht="15.75">
      <c r="A11" s="4" t="s">
        <v>3</v>
      </c>
      <c r="B11" s="7">
        <f>364694.45</f>
        <v>364694.45</v>
      </c>
      <c r="D11" s="7">
        <f>364694.45</f>
        <v>364694.45</v>
      </c>
      <c r="E11" s="52"/>
    </row>
    <row r="12" spans="1:7" ht="15.75">
      <c r="A12" s="4" t="s">
        <v>4</v>
      </c>
      <c r="B12" s="7">
        <v>155236.71</v>
      </c>
      <c r="D12" s="7">
        <f>155236.71+F12</f>
        <v>155582.78999999998</v>
      </c>
      <c r="E12" s="52"/>
      <c r="F12" s="50">
        <v>346.08</v>
      </c>
      <c r="G12" s="58">
        <v>2</v>
      </c>
    </row>
    <row r="13" spans="1:7" ht="15.75">
      <c r="A13" s="4" t="s">
        <v>5</v>
      </c>
      <c r="B13" s="20">
        <f>12796.65+21237.54</f>
        <v>34034.19</v>
      </c>
      <c r="D13" s="20">
        <f>12796.65+21237.54+F13</f>
        <v>1686.8400000000038</v>
      </c>
      <c r="E13" s="85"/>
      <c r="F13" s="65">
        <v>-32347.35</v>
      </c>
      <c r="G13" s="58">
        <v>3</v>
      </c>
    </row>
    <row r="14" spans="1:6" ht="15.75">
      <c r="A14" s="6" t="s">
        <v>6</v>
      </c>
      <c r="B14" s="18">
        <f>SUM(B10:B13)</f>
        <v>990290.74</v>
      </c>
      <c r="D14" s="18">
        <f>SUM(D10:D13)</f>
        <v>962606.0399999999</v>
      </c>
      <c r="E14" s="75"/>
      <c r="F14" s="24">
        <f>SUM(F10:F13)</f>
        <v>-27684.699999999997</v>
      </c>
    </row>
    <row r="15" spans="1:5" ht="15.75">
      <c r="A15" s="6" t="s">
        <v>7</v>
      </c>
      <c r="B15" s="8">
        <f>B14/B7</f>
        <v>11.10079409028237</v>
      </c>
      <c r="D15" s="8">
        <f>D14/D7</f>
        <v>10.790458810209731</v>
      </c>
      <c r="E15" s="76"/>
    </row>
    <row r="16" spans="1:5" ht="15.75">
      <c r="A16" s="4"/>
      <c r="B16" s="9"/>
      <c r="D16" s="9"/>
      <c r="E16" s="57"/>
    </row>
    <row r="17" spans="1:6" ht="15.75">
      <c r="A17" s="6" t="s">
        <v>55</v>
      </c>
      <c r="B17" s="3" t="str">
        <f>B6</f>
        <v>08/20 - 08/31</v>
      </c>
      <c r="D17" s="3" t="s">
        <v>28</v>
      </c>
      <c r="E17" s="77"/>
      <c r="F17" s="9"/>
    </row>
    <row r="18" spans="1:10" ht="15.75">
      <c r="A18" s="4" t="s">
        <v>55</v>
      </c>
      <c r="B18" s="71">
        <v>0</v>
      </c>
      <c r="D18" s="93">
        <v>14554</v>
      </c>
      <c r="E18" s="51"/>
      <c r="F18" s="71"/>
      <c r="H18" s="60"/>
      <c r="I18" s="60"/>
      <c r="J18" s="60"/>
    </row>
    <row r="19" spans="1:10" ht="15.75">
      <c r="A19" s="6" t="s">
        <v>56</v>
      </c>
      <c r="B19" s="96">
        <f>SUM(B18)</f>
        <v>0</v>
      </c>
      <c r="D19" s="97">
        <f>SUM(D18)</f>
        <v>14554</v>
      </c>
      <c r="E19" s="76"/>
      <c r="F19" s="76">
        <v>14554</v>
      </c>
      <c r="G19" s="61">
        <v>4</v>
      </c>
      <c r="H19" s="60"/>
      <c r="I19" s="60"/>
      <c r="J19" s="60"/>
    </row>
    <row r="20" spans="1:10" ht="15.75">
      <c r="A20" s="6" t="s">
        <v>57</v>
      </c>
      <c r="B20" s="8">
        <f>B19/B7</f>
        <v>0</v>
      </c>
      <c r="D20" s="8">
        <f>D19/D7</f>
        <v>0.16314497416179982</v>
      </c>
      <c r="E20" s="76"/>
      <c r="F20" s="13"/>
      <c r="G20" s="60"/>
      <c r="H20" s="60"/>
      <c r="I20" s="60"/>
      <c r="J20" s="60"/>
    </row>
    <row r="21" spans="1:5" ht="15.75">
      <c r="A21" s="4"/>
      <c r="B21" s="9"/>
      <c r="D21" s="9"/>
      <c r="E21" s="57"/>
    </row>
    <row r="22" spans="1:5" ht="15.75">
      <c r="A22" s="10" t="s">
        <v>8</v>
      </c>
      <c r="B22" s="3" t="s">
        <v>28</v>
      </c>
      <c r="D22" s="3" t="s">
        <v>28</v>
      </c>
      <c r="E22" s="77"/>
    </row>
    <row r="23" spans="1:5" ht="15.75">
      <c r="A23" s="4" t="s">
        <v>9</v>
      </c>
      <c r="B23" s="11">
        <v>42134.85</v>
      </c>
      <c r="D23" s="11">
        <v>42134.85</v>
      </c>
      <c r="E23" s="49"/>
    </row>
    <row r="24" spans="1:5" ht="15.75">
      <c r="A24" s="4" t="s">
        <v>10</v>
      </c>
      <c r="B24" s="12">
        <v>2333095.13</v>
      </c>
      <c r="D24" s="12">
        <v>2333095.13</v>
      </c>
      <c r="E24" s="50"/>
    </row>
    <row r="25" spans="1:5" ht="15.75">
      <c r="A25" s="4" t="s">
        <v>11</v>
      </c>
      <c r="B25" s="13">
        <f aca="true" t="shared" si="0" ref="B25:D25">B24/B7</f>
        <v>26.153136230649373</v>
      </c>
      <c r="D25" s="13">
        <f t="shared" si="0"/>
        <v>26.153136230649373</v>
      </c>
      <c r="E25" s="63"/>
    </row>
    <row r="26" spans="1:5" ht="15.75">
      <c r="A26" s="4" t="s">
        <v>12</v>
      </c>
      <c r="B26" s="13">
        <v>2.4</v>
      </c>
      <c r="D26" s="13">
        <v>2.4</v>
      </c>
      <c r="E26" s="63"/>
    </row>
    <row r="27" spans="1:5" ht="15.75">
      <c r="A27" s="4" t="s">
        <v>29</v>
      </c>
      <c r="B27" s="13">
        <v>1652.5</v>
      </c>
      <c r="D27" s="13">
        <v>1652.5</v>
      </c>
      <c r="E27" s="63"/>
    </row>
    <row r="28" spans="1:5" ht="15.75">
      <c r="A28" s="4" t="s">
        <v>13</v>
      </c>
      <c r="B28" s="12">
        <v>8908.13</v>
      </c>
      <c r="D28" s="12">
        <v>8908.13</v>
      </c>
      <c r="E28" s="50"/>
    </row>
    <row r="29" spans="1:5" ht="15.75">
      <c r="A29" s="4" t="s">
        <v>14</v>
      </c>
      <c r="B29" s="12">
        <f>B28/B7</f>
        <v>0.09985685300810455</v>
      </c>
      <c r="D29" s="12">
        <f>D28/D7</f>
        <v>0.09985685300810455</v>
      </c>
      <c r="E29" s="50"/>
    </row>
    <row r="30" spans="1:5" ht="15.75">
      <c r="A30" s="4" t="s">
        <v>30</v>
      </c>
      <c r="B30" s="12">
        <v>3736</v>
      </c>
      <c r="D30" s="12">
        <v>3736</v>
      </c>
      <c r="E30" s="50"/>
    </row>
    <row r="31" spans="1:5" ht="15.75">
      <c r="A31" s="4" t="s">
        <v>31</v>
      </c>
      <c r="B31" s="12">
        <v>48019.18</v>
      </c>
      <c r="D31" s="12">
        <v>48019.18</v>
      </c>
      <c r="E31" s="50"/>
    </row>
    <row r="32" spans="1:5" ht="15.75">
      <c r="A32" s="4" t="s">
        <v>32</v>
      </c>
      <c r="B32" s="12">
        <f>B31/B7</f>
        <v>0.538277303859476</v>
      </c>
      <c r="D32" s="12">
        <f>D31/D7</f>
        <v>0.538277303859476</v>
      </c>
      <c r="E32" s="50"/>
    </row>
    <row r="33" spans="1:5" ht="15.75">
      <c r="A33" s="4" t="s">
        <v>15</v>
      </c>
      <c r="B33" s="19">
        <v>58644.59</v>
      </c>
      <c r="D33" s="19">
        <v>58644.59</v>
      </c>
      <c r="E33" s="51"/>
    </row>
    <row r="34" spans="1:8" ht="15.75">
      <c r="A34" s="4" t="s">
        <v>16</v>
      </c>
      <c r="B34" s="19">
        <f>B33/B7</f>
        <v>0.6573842325325919</v>
      </c>
      <c r="D34" s="19">
        <f>D33/D7</f>
        <v>0.6573842325325919</v>
      </c>
      <c r="E34" s="51"/>
      <c r="F34" s="57"/>
      <c r="G34" s="60"/>
      <c r="H34" s="60"/>
    </row>
    <row r="35" spans="1:8" ht="15.75">
      <c r="A35" s="14" t="s">
        <v>17</v>
      </c>
      <c r="B35" s="19">
        <v>0</v>
      </c>
      <c r="D35" s="32">
        <v>11618.56</v>
      </c>
      <c r="E35" s="51"/>
      <c r="F35" s="12">
        <v>11618.56</v>
      </c>
      <c r="G35" s="61">
        <v>5</v>
      </c>
      <c r="H35" s="60"/>
    </row>
    <row r="36" spans="1:8" ht="15.75">
      <c r="A36" s="4" t="s">
        <v>18</v>
      </c>
      <c r="B36" s="94">
        <v>0</v>
      </c>
      <c r="D36" s="93">
        <f>D35/D7</f>
        <v>0.1302397740138327</v>
      </c>
      <c r="E36" s="51"/>
      <c r="F36" s="95"/>
      <c r="G36" s="60"/>
      <c r="H36" s="60"/>
    </row>
    <row r="37" spans="1:6" ht="15.75">
      <c r="A37" s="10" t="s">
        <v>19</v>
      </c>
      <c r="B37" s="15">
        <f>B24+B28+B31+B33+B35</f>
        <v>2448667.03</v>
      </c>
      <c r="D37" s="15">
        <f>D24+D28+D31+D33+D35</f>
        <v>2460285.59</v>
      </c>
      <c r="E37" s="84"/>
      <c r="F37" s="76">
        <f>SUM(F23:F36)</f>
        <v>11618.56</v>
      </c>
    </row>
    <row r="38" spans="1:5" ht="15.75">
      <c r="A38" s="10" t="s">
        <v>20</v>
      </c>
      <c r="B38" s="15">
        <f>B37/B7</f>
        <v>27.448654620049545</v>
      </c>
      <c r="D38" s="15">
        <f>D37/D7</f>
        <v>27.57889439406338</v>
      </c>
      <c r="E38" s="84"/>
    </row>
    <row r="39" spans="1:5" ht="15.75">
      <c r="A39" s="4"/>
      <c r="B39" s="9"/>
      <c r="D39" s="9"/>
      <c r="E39" s="57"/>
    </row>
    <row r="40" spans="1:5" ht="15.75">
      <c r="A40" s="4"/>
      <c r="B40" s="9"/>
      <c r="D40" s="9"/>
      <c r="E40" s="57"/>
    </row>
    <row r="41" spans="1:5" ht="15.75">
      <c r="A41" s="4"/>
      <c r="B41" s="3" t="s">
        <v>28</v>
      </c>
      <c r="D41" s="3" t="s">
        <v>28</v>
      </c>
      <c r="E41" s="77"/>
    </row>
    <row r="42" spans="1:7" ht="15.75">
      <c r="A42" s="4" t="s">
        <v>21</v>
      </c>
      <c r="B42" s="7">
        <v>7182778.12</v>
      </c>
      <c r="D42" s="7">
        <v>7182778.12</v>
      </c>
      <c r="E42" s="52"/>
      <c r="F42" s="60"/>
      <c r="G42" s="60"/>
    </row>
    <row r="43" spans="1:7" ht="15.75">
      <c r="A43" s="4" t="s">
        <v>22</v>
      </c>
      <c r="B43" s="7">
        <v>6791303.59</v>
      </c>
      <c r="D43" s="7">
        <v>1629029.59</v>
      </c>
      <c r="E43" s="52"/>
      <c r="F43" s="62">
        <f>D43-B43</f>
        <v>-5162274</v>
      </c>
      <c r="G43" s="61">
        <v>6</v>
      </c>
    </row>
    <row r="44" spans="1:7" ht="15.75">
      <c r="A44" s="4" t="s">
        <v>47</v>
      </c>
      <c r="B44" s="7">
        <v>177391.54</v>
      </c>
      <c r="D44" s="7">
        <v>177391.54</v>
      </c>
      <c r="E44" s="52"/>
      <c r="F44" s="60"/>
      <c r="G44" s="60"/>
    </row>
    <row r="45" spans="1:7" ht="15.75">
      <c r="A45" s="14" t="s">
        <v>23</v>
      </c>
      <c r="B45" s="20">
        <v>14554</v>
      </c>
      <c r="D45" s="20">
        <v>0</v>
      </c>
      <c r="E45" s="85"/>
      <c r="F45" s="62">
        <v>-14554</v>
      </c>
      <c r="G45" s="61">
        <v>7</v>
      </c>
    </row>
    <row r="46" spans="1:7" ht="15.75">
      <c r="A46" s="14" t="s">
        <v>24</v>
      </c>
      <c r="B46" s="7">
        <f>SUM(B42:B45)</f>
        <v>14166027.25</v>
      </c>
      <c r="D46" s="7">
        <f>SUM(D42:D45)</f>
        <v>8989199.25</v>
      </c>
      <c r="E46" s="52"/>
      <c r="F46" s="7">
        <f>SUM(F42:F45)</f>
        <v>-5176828</v>
      </c>
      <c r="G46" s="60"/>
    </row>
    <row r="47" spans="1:9" ht="15.75">
      <c r="A47" s="14" t="s">
        <v>25</v>
      </c>
      <c r="B47" s="23">
        <v>0.0785</v>
      </c>
      <c r="D47" s="23">
        <v>0.0785</v>
      </c>
      <c r="E47" s="86"/>
      <c r="F47" s="23">
        <v>0.0785</v>
      </c>
      <c r="G47" s="60"/>
      <c r="H47" s="60"/>
      <c r="I47" s="60"/>
    </row>
    <row r="48" spans="1:9" ht="15.75">
      <c r="A48" s="21" t="s">
        <v>26</v>
      </c>
      <c r="B48" s="22">
        <f>ROUND(B46*B47/365*12,2)</f>
        <v>36559.99</v>
      </c>
      <c r="D48" s="22">
        <f>ROUND(D46*D47/365*12,2)</f>
        <v>23199.52</v>
      </c>
      <c r="E48" s="90"/>
      <c r="F48" s="90">
        <f>ROUND(F46*F47/365*12,2)</f>
        <v>-13360.47</v>
      </c>
      <c r="G48" s="60"/>
      <c r="H48" s="60"/>
      <c r="I48" s="60"/>
    </row>
    <row r="49" spans="1:9" ht="15.75">
      <c r="A49" s="14"/>
      <c r="B49" s="9"/>
      <c r="D49" s="9"/>
      <c r="E49" s="57"/>
      <c r="F49" s="60"/>
      <c r="G49" s="60"/>
      <c r="H49" s="60"/>
      <c r="I49" s="60"/>
    </row>
    <row r="50" ht="12.75">
      <c r="E50" s="60"/>
    </row>
    <row r="51" spans="1:5" ht="15.75">
      <c r="A51" s="1" t="s">
        <v>40</v>
      </c>
      <c r="B51" s="3" t="s">
        <v>28</v>
      </c>
      <c r="D51" s="3" t="s">
        <v>28</v>
      </c>
      <c r="E51" s="77"/>
    </row>
    <row r="52" spans="1:5" ht="15.75">
      <c r="A52" s="14" t="s">
        <v>37</v>
      </c>
      <c r="B52" s="3" t="s">
        <v>38</v>
      </c>
      <c r="D52" s="3" t="s">
        <v>38</v>
      </c>
      <c r="E52" s="77"/>
    </row>
    <row r="53" spans="1:5" ht="15.75">
      <c r="A53" s="26" t="s">
        <v>39</v>
      </c>
      <c r="B53" s="27">
        <f>ROUND(64284.7*0.3525,2)</f>
        <v>22660.36</v>
      </c>
      <c r="D53" s="27">
        <f>ROUND(64284.7*0.3525,2)</f>
        <v>22660.36</v>
      </c>
      <c r="E53" s="27"/>
    </row>
    <row r="54" spans="1:5" ht="15.75">
      <c r="A54" s="26" t="s">
        <v>36</v>
      </c>
      <c r="B54" s="27">
        <f>ROUND((2075/31)*12,2)</f>
        <v>803.23</v>
      </c>
      <c r="D54" s="27">
        <f>ROUND((2075/31)*12,2)</f>
        <v>803.23</v>
      </c>
      <c r="E54" s="27"/>
    </row>
    <row r="55" spans="1:5" ht="15.75">
      <c r="A55" s="14" t="s">
        <v>41</v>
      </c>
      <c r="B55" s="3" t="s">
        <v>38</v>
      </c>
      <c r="D55" s="3" t="s">
        <v>38</v>
      </c>
      <c r="E55" s="77"/>
    </row>
    <row r="56" spans="1:8" ht="15.75">
      <c r="A56" s="26" t="s">
        <v>42</v>
      </c>
      <c r="B56" s="27">
        <v>0</v>
      </c>
      <c r="C56" s="31"/>
      <c r="D56" s="27">
        <v>0</v>
      </c>
      <c r="E56" s="27"/>
      <c r="F56" s="31"/>
      <c r="G56" s="31" t="s">
        <v>50</v>
      </c>
      <c r="H56" s="31"/>
    </row>
    <row r="57" spans="1:7" ht="15.75">
      <c r="A57" s="14" t="s">
        <v>43</v>
      </c>
      <c r="B57" s="24">
        <v>0</v>
      </c>
      <c r="D57" s="24">
        <v>0</v>
      </c>
      <c r="E57" s="27"/>
      <c r="G57" s="16" t="s">
        <v>49</v>
      </c>
    </row>
    <row r="58" spans="1:6" ht="15.75">
      <c r="A58" s="14" t="s">
        <v>44</v>
      </c>
      <c r="B58" s="28" t="s">
        <v>38</v>
      </c>
      <c r="D58" s="28" t="s">
        <v>38</v>
      </c>
      <c r="E58" s="91"/>
      <c r="F58" s="69"/>
    </row>
    <row r="59" spans="1:6" ht="15.75">
      <c r="A59" s="21" t="s">
        <v>46</v>
      </c>
      <c r="B59" s="25">
        <f>SUM(B52:B58)</f>
        <v>23463.59</v>
      </c>
      <c r="D59" s="25">
        <f>SUM(D52:D58)</f>
        <v>23463.59</v>
      </c>
      <c r="E59" s="27"/>
      <c r="F59" s="27">
        <f>SUM(F51:F58)</f>
        <v>0</v>
      </c>
    </row>
    <row r="60" spans="1:5" ht="15.75">
      <c r="A60" s="14"/>
      <c r="B60" s="24"/>
      <c r="D60" s="24"/>
      <c r="E60" s="27"/>
    </row>
    <row r="61" spans="1:5" ht="15.75">
      <c r="A61" s="14"/>
      <c r="B61" s="24"/>
      <c r="D61" s="24"/>
      <c r="E61" s="27"/>
    </row>
    <row r="62" spans="1:5" ht="15.75">
      <c r="A62" s="14"/>
      <c r="B62" s="24"/>
      <c r="D62" s="24"/>
      <c r="E62" s="27"/>
    </row>
    <row r="63" spans="1:6" ht="15.75">
      <c r="A63" s="21" t="s">
        <v>45</v>
      </c>
      <c r="B63" s="25">
        <f>ROUND(46919.63/365*12,2)</f>
        <v>1542.56</v>
      </c>
      <c r="D63" s="25">
        <f>ROUND(46919.63/365*12,2)</f>
        <v>1542.56</v>
      </c>
      <c r="E63" s="27"/>
      <c r="F63" s="27">
        <f>SUM(F55:F62)</f>
        <v>0</v>
      </c>
    </row>
    <row r="64" spans="1:5" ht="15.75">
      <c r="A64" s="14"/>
      <c r="B64" s="14"/>
      <c r="D64" s="14"/>
      <c r="E64" s="26"/>
    </row>
    <row r="65" ht="12.75">
      <c r="E65" s="60"/>
    </row>
    <row r="66" ht="12.75">
      <c r="E66" s="60"/>
    </row>
    <row r="67" spans="1:12" ht="16.5" thickBot="1">
      <c r="A67" s="30" t="s">
        <v>48</v>
      </c>
      <c r="B67" s="67">
        <f>+B14+B37+B48+B59+B63</f>
        <v>3500523.9099999997</v>
      </c>
      <c r="D67" s="67">
        <f>+D14+D19+D37+D48+D59+D63</f>
        <v>3485651.3</v>
      </c>
      <c r="E67" s="92"/>
      <c r="F67" s="67">
        <f>D67-B67</f>
        <v>-14872.60999999987</v>
      </c>
      <c r="G67" s="60" t="s">
        <v>81</v>
      </c>
      <c r="H67" s="60"/>
      <c r="I67" s="60"/>
      <c r="J67" s="60"/>
      <c r="K67" s="60"/>
      <c r="L67" s="60"/>
    </row>
    <row r="68" ht="15.75" thickTop="1">
      <c r="E68" s="60"/>
    </row>
    <row r="69" ht="12.75">
      <c r="E69" s="60"/>
    </row>
    <row r="70" spans="1:5" ht="12.75">
      <c r="A70" s="59" t="s">
        <v>63</v>
      </c>
      <c r="E70" s="60"/>
    </row>
    <row r="71" spans="1:5" ht="12.75">
      <c r="A71" s="59" t="s">
        <v>64</v>
      </c>
      <c r="E71" s="60"/>
    </row>
    <row r="72" spans="1:5" ht="12.75">
      <c r="A72" s="59" t="s">
        <v>65</v>
      </c>
      <c r="E72" s="60"/>
    </row>
    <row r="73" ht="12.75">
      <c r="A73" s="59" t="s">
        <v>73</v>
      </c>
    </row>
    <row r="74" ht="12.75">
      <c r="A74" s="59" t="s">
        <v>74</v>
      </c>
    </row>
    <row r="75" spans="1:5" ht="12.75">
      <c r="A75" s="59" t="s">
        <v>82</v>
      </c>
      <c r="E75" s="60"/>
    </row>
    <row r="76" spans="1:5" ht="12.75">
      <c r="A76" s="59" t="s">
        <v>80</v>
      </c>
      <c r="E76" s="60"/>
    </row>
    <row r="77" spans="1:5" ht="12.75">
      <c r="A77" s="59" t="s">
        <v>66</v>
      </c>
      <c r="E77" s="60"/>
    </row>
    <row r="78" spans="1:5" ht="12.75">
      <c r="A78" s="59" t="s">
        <v>68</v>
      </c>
      <c r="E78" s="60"/>
    </row>
  </sheetData>
  <printOptions/>
  <pageMargins left="0.7" right="0.7" top="0.75" bottom="0.75" header="0.3" footer="0.3"/>
  <pageSetup fitToHeight="1" fitToWidth="1" horizontalDpi="600" verticalDpi="600" orientation="portrait" scale="5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 topLeftCell="A9">
      <selection activeCell="C51" sqref="C51:C52"/>
    </sheetView>
  </sheetViews>
  <sheetFormatPr defaultColWidth="9.140625" defaultRowHeight="12.75"/>
  <cols>
    <col min="1" max="1" width="41.421875" style="16" bestFit="1" customWidth="1"/>
    <col min="2" max="2" width="17.57421875" style="16" bestFit="1" customWidth="1"/>
    <col min="3" max="3" width="9.140625" style="16" customWidth="1"/>
    <col min="4" max="4" width="12.8515625" style="16" bestFit="1" customWidth="1"/>
    <col min="5" max="16384" width="9.140625" style="16" customWidth="1"/>
  </cols>
  <sheetData>
    <row r="1" ht="15.75">
      <c r="A1" s="14" t="s">
        <v>34</v>
      </c>
    </row>
    <row r="2" ht="15.75">
      <c r="A2" s="14" t="s">
        <v>35</v>
      </c>
    </row>
    <row r="5" spans="1:2" ht="15.75">
      <c r="A5" s="1" t="s">
        <v>33</v>
      </c>
      <c r="B5" s="2" t="s">
        <v>27</v>
      </c>
    </row>
    <row r="6" ht="15.75">
      <c r="B6" s="3" t="s">
        <v>28</v>
      </c>
    </row>
    <row r="7" spans="1:2" ht="15.75">
      <c r="A7" s="4" t="s">
        <v>0</v>
      </c>
      <c r="B7" s="5">
        <v>89209</v>
      </c>
    </row>
    <row r="8" spans="1:2" ht="15.75">
      <c r="A8" s="4"/>
      <c r="B8" s="5"/>
    </row>
    <row r="9" spans="1:2" ht="15.75">
      <c r="A9" s="6" t="s">
        <v>1</v>
      </c>
      <c r="B9" s="3" t="s">
        <v>28</v>
      </c>
    </row>
    <row r="10" spans="1:2" ht="15.75">
      <c r="A10" s="4" t="s">
        <v>2</v>
      </c>
      <c r="B10" s="19">
        <v>436325.39</v>
      </c>
    </row>
    <row r="11" spans="1:2" ht="15.75">
      <c r="A11" s="4" t="s">
        <v>3</v>
      </c>
      <c r="B11" s="7">
        <f>364694.45</f>
        <v>364694.45</v>
      </c>
    </row>
    <row r="12" spans="1:2" ht="15.75">
      <c r="A12" s="4" t="s">
        <v>4</v>
      </c>
      <c r="B12" s="7">
        <v>155236.71</v>
      </c>
    </row>
    <row r="13" spans="1:2" ht="15.75">
      <c r="A13" s="4" t="s">
        <v>5</v>
      </c>
      <c r="B13" s="20">
        <f>12796.65+21237.54</f>
        <v>34034.19</v>
      </c>
    </row>
    <row r="14" spans="1:2" ht="15.75">
      <c r="A14" s="6" t="s">
        <v>6</v>
      </c>
      <c r="B14" s="18">
        <f>SUM(B10:B13)</f>
        <v>990290.74</v>
      </c>
    </row>
    <row r="15" spans="1:2" ht="15.75">
      <c r="A15" s="6" t="s">
        <v>7</v>
      </c>
      <c r="B15" s="8">
        <f>B14/B7</f>
        <v>11.10079409028237</v>
      </c>
    </row>
    <row r="16" spans="1:2" ht="15.75">
      <c r="A16" s="4"/>
      <c r="B16" s="9"/>
    </row>
    <row r="17" spans="1:2" ht="15.75">
      <c r="A17" s="10" t="s">
        <v>8</v>
      </c>
      <c r="B17" s="3" t="s">
        <v>28</v>
      </c>
    </row>
    <row r="18" spans="1:2" ht="15.75">
      <c r="A18" s="4" t="s">
        <v>9</v>
      </c>
      <c r="B18" s="11">
        <v>42134.85</v>
      </c>
    </row>
    <row r="19" spans="1:2" ht="15.75">
      <c r="A19" s="4" t="s">
        <v>10</v>
      </c>
      <c r="B19" s="12">
        <v>2333095.13</v>
      </c>
    </row>
    <row r="20" spans="1:2" ht="15.75">
      <c r="A20" s="4" t="s">
        <v>11</v>
      </c>
      <c r="B20" s="13">
        <f aca="true" t="shared" si="0" ref="B20">B19/B7</f>
        <v>26.153136230649373</v>
      </c>
    </row>
    <row r="21" spans="1:2" ht="15.75">
      <c r="A21" s="4" t="s">
        <v>12</v>
      </c>
      <c r="B21" s="13">
        <v>2.4</v>
      </c>
    </row>
    <row r="22" spans="1:2" ht="15.75">
      <c r="A22" s="4" t="s">
        <v>29</v>
      </c>
      <c r="B22" s="13">
        <v>1652.5</v>
      </c>
    </row>
    <row r="23" spans="1:2" ht="15.75">
      <c r="A23" s="4" t="s">
        <v>13</v>
      </c>
      <c r="B23" s="12">
        <v>8908.13</v>
      </c>
    </row>
    <row r="24" spans="1:2" ht="15.75">
      <c r="A24" s="4" t="s">
        <v>14</v>
      </c>
      <c r="B24" s="12">
        <f>B23/B7</f>
        <v>0.09985685300810455</v>
      </c>
    </row>
    <row r="25" spans="1:2" ht="15.75">
      <c r="A25" s="4" t="s">
        <v>30</v>
      </c>
      <c r="B25" s="12">
        <v>3736</v>
      </c>
    </row>
    <row r="26" spans="1:2" ht="15.75">
      <c r="A26" s="4" t="s">
        <v>31</v>
      </c>
      <c r="B26" s="12">
        <v>48019.18</v>
      </c>
    </row>
    <row r="27" spans="1:2" ht="15.75">
      <c r="A27" s="4" t="s">
        <v>32</v>
      </c>
      <c r="B27" s="12">
        <f>B26/B7</f>
        <v>0.538277303859476</v>
      </c>
    </row>
    <row r="28" spans="1:2" ht="15.75">
      <c r="A28" s="4" t="s">
        <v>15</v>
      </c>
      <c r="B28" s="19">
        <v>58644.59</v>
      </c>
    </row>
    <row r="29" spans="1:2" ht="15.75">
      <c r="A29" s="4" t="s">
        <v>16</v>
      </c>
      <c r="B29" s="7">
        <f>B28/B7</f>
        <v>0.6573842325325919</v>
      </c>
    </row>
    <row r="30" spans="1:2" ht="15.75">
      <c r="A30" s="14" t="s">
        <v>17</v>
      </c>
      <c r="B30" s="7">
        <v>0</v>
      </c>
    </row>
    <row r="31" spans="1:2" ht="15.75">
      <c r="A31" s="4" t="s">
        <v>18</v>
      </c>
      <c r="B31" s="20">
        <v>0</v>
      </c>
    </row>
    <row r="32" spans="1:4" ht="15.75">
      <c r="A32" s="10" t="s">
        <v>19</v>
      </c>
      <c r="B32" s="15">
        <f>B19+B23+B26+B28+B30</f>
        <v>2448667.03</v>
      </c>
      <c r="D32" s="17"/>
    </row>
    <row r="33" spans="1:2" ht="15.75">
      <c r="A33" s="10" t="s">
        <v>20</v>
      </c>
      <c r="B33" s="15">
        <f>B32/B7</f>
        <v>27.448654620049545</v>
      </c>
    </row>
    <row r="34" spans="1:2" ht="15.75">
      <c r="A34" s="4"/>
      <c r="B34" s="9"/>
    </row>
    <row r="35" spans="1:2" ht="15.75">
      <c r="A35" s="4"/>
      <c r="B35" s="9"/>
    </row>
    <row r="36" spans="1:2" ht="15.75">
      <c r="A36" s="4"/>
      <c r="B36" s="3" t="s">
        <v>28</v>
      </c>
    </row>
    <row r="37" spans="1:2" ht="15.75">
      <c r="A37" s="4" t="s">
        <v>21</v>
      </c>
      <c r="B37" s="7">
        <v>7182778.12</v>
      </c>
    </row>
    <row r="38" spans="1:2" ht="15.75">
      <c r="A38" s="4" t="s">
        <v>22</v>
      </c>
      <c r="B38" s="7">
        <v>6791303.59</v>
      </c>
    </row>
    <row r="39" spans="1:2" ht="15.75">
      <c r="A39" s="4" t="s">
        <v>47</v>
      </c>
      <c r="B39" s="7">
        <v>177391.54</v>
      </c>
    </row>
    <row r="40" spans="1:2" ht="15.75">
      <c r="A40" s="14" t="s">
        <v>23</v>
      </c>
      <c r="B40" s="20">
        <v>14554</v>
      </c>
    </row>
    <row r="41" spans="1:2" ht="15.75">
      <c r="A41" s="14" t="s">
        <v>24</v>
      </c>
      <c r="B41" s="7">
        <f>SUM(B37:B40)</f>
        <v>14166027.25</v>
      </c>
    </row>
    <row r="42" spans="1:2" ht="15.75">
      <c r="A42" s="14" t="s">
        <v>25</v>
      </c>
      <c r="B42" s="23">
        <v>0.0785</v>
      </c>
    </row>
    <row r="43" spans="1:2" ht="15.75">
      <c r="A43" s="21" t="s">
        <v>26</v>
      </c>
      <c r="B43" s="22">
        <f>ROUND(B41*B42/365*12,2)</f>
        <v>36559.99</v>
      </c>
    </row>
    <row r="44" spans="1:2" ht="15.75">
      <c r="A44" s="14"/>
      <c r="B44" s="9"/>
    </row>
    <row r="46" spans="1:2" ht="15.75">
      <c r="A46" s="1" t="s">
        <v>40</v>
      </c>
      <c r="B46" s="3" t="s">
        <v>28</v>
      </c>
    </row>
    <row r="47" spans="1:2" ht="15.75">
      <c r="A47" s="14" t="s">
        <v>37</v>
      </c>
      <c r="B47" s="3" t="s">
        <v>38</v>
      </c>
    </row>
    <row r="48" spans="1:2" ht="15.75">
      <c r="A48" s="26" t="s">
        <v>39</v>
      </c>
      <c r="B48" s="27">
        <f>ROUND(64284.7*0.3525,2)</f>
        <v>22660.36</v>
      </c>
    </row>
    <row r="49" spans="1:2" ht="15.75">
      <c r="A49" s="26" t="s">
        <v>36</v>
      </c>
      <c r="B49" s="27">
        <f>ROUND((2075/31)*12,2)</f>
        <v>803.23</v>
      </c>
    </row>
    <row r="50" spans="1:2" ht="15.75">
      <c r="A50" s="14" t="s">
        <v>41</v>
      </c>
      <c r="B50" s="3" t="s">
        <v>38</v>
      </c>
    </row>
    <row r="51" spans="1:3" ht="15.75">
      <c r="A51" s="26" t="s">
        <v>42</v>
      </c>
      <c r="B51" s="27">
        <v>0</v>
      </c>
      <c r="C51" s="31" t="s">
        <v>50</v>
      </c>
    </row>
    <row r="52" spans="1:3" ht="15.75">
      <c r="A52" s="14" t="s">
        <v>43</v>
      </c>
      <c r="B52" s="24">
        <v>0</v>
      </c>
      <c r="C52" s="16" t="s">
        <v>49</v>
      </c>
    </row>
    <row r="53" spans="1:2" ht="15.75">
      <c r="A53" s="14" t="s">
        <v>44</v>
      </c>
      <c r="B53" s="28" t="s">
        <v>38</v>
      </c>
    </row>
    <row r="54" spans="1:2" ht="15.75">
      <c r="A54" s="21" t="s">
        <v>46</v>
      </c>
      <c r="B54" s="25">
        <f>SUM(B47:B53)</f>
        <v>23463.59</v>
      </c>
    </row>
    <row r="55" spans="1:2" ht="15.75">
      <c r="A55" s="14"/>
      <c r="B55" s="24"/>
    </row>
    <row r="56" spans="1:2" ht="15.75">
      <c r="A56" s="14"/>
      <c r="B56" s="24"/>
    </row>
    <row r="57" spans="1:2" ht="15.75">
      <c r="A57" s="14"/>
      <c r="B57" s="24"/>
    </row>
    <row r="58" spans="1:2" ht="15.75">
      <c r="A58" s="21" t="s">
        <v>45</v>
      </c>
      <c r="B58" s="25">
        <f>ROUND(46919.63/365*12,2)</f>
        <v>1542.56</v>
      </c>
    </row>
    <row r="59" spans="1:2" ht="15.75">
      <c r="A59" s="14"/>
      <c r="B59" s="14"/>
    </row>
    <row r="62" spans="1:2" ht="16.5" thickBot="1">
      <c r="A62" s="30" t="s">
        <v>48</v>
      </c>
      <c r="B62" s="29">
        <f>+B14+B32+B43+B54+B58</f>
        <v>3500523.9099999997</v>
      </c>
    </row>
    <row r="63" ht="15.75" thickTop="1"/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Rivers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Crowe</dc:creator>
  <cp:keywords/>
  <dc:description/>
  <cp:lastModifiedBy>David J Ashby</cp:lastModifiedBy>
  <cp:lastPrinted>2014-01-21T19:50:37Z</cp:lastPrinted>
  <dcterms:created xsi:type="dcterms:W3CDTF">2013-09-19T21:12:49Z</dcterms:created>
  <dcterms:modified xsi:type="dcterms:W3CDTF">2014-01-21T19:50:41Z</dcterms:modified>
  <cp:category/>
  <cp:version/>
  <cp:contentType/>
  <cp:contentStatus/>
</cp:coreProperties>
</file>